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担当\熊澤\08  住まいる\01 交付要綱\R04.04NEST削除他\様式\★現行様式\エクセル\"/>
    </mc:Choice>
  </mc:AlternateContent>
  <bookViews>
    <workbookView xWindow="0" yWindow="0" windowWidth="19500" windowHeight="10850" tabRatio="920" activeTab="1"/>
  </bookViews>
  <sheets>
    <sheet name="【様式第６号】事業報告書兼チェックシート" sheetId="11" r:id="rId1"/>
    <sheet name="要入力　交付決定状況入力シート" sheetId="16" r:id="rId2"/>
    <sheet name="【様式第６号】（別紙）補助金併用一覧" sheetId="17" r:id="rId3"/>
    <sheet name="実績報告書鑑（報告書連動）" sheetId="12" r:id="rId4"/>
  </sheets>
  <definedNames>
    <definedName name="_xlnm.Print_Area" localSheetId="2">'【様式第６号】（別紙）補助金併用一覧'!$A$1:$E$33</definedName>
    <definedName name="_xlnm.Print_Area" localSheetId="0">【様式第６号】事業報告書兼チェックシート!$A$1:$AA$248</definedName>
    <definedName name="_xlnm.Print_Area" localSheetId="3">'実績報告書鑑（報告書連動）'!$A$1:$Z$54</definedName>
  </definedNames>
  <calcPr calcId="162913"/>
</workbook>
</file>

<file path=xl/calcChain.xml><?xml version="1.0" encoding="utf-8"?>
<calcChain xmlns="http://schemas.openxmlformats.org/spreadsheetml/2006/main">
  <c r="H12" i="16" l="1"/>
  <c r="D12" i="16"/>
  <c r="C50" i="11" l="1"/>
  <c r="Y72" i="11" l="1"/>
  <c r="C226" i="11"/>
  <c r="H42" i="12" s="1"/>
  <c r="C214" i="11"/>
  <c r="H30" i="12" s="1"/>
  <c r="C213" i="11"/>
  <c r="AB45" i="11"/>
  <c r="D57" i="11"/>
  <c r="C224" i="11" l="1"/>
  <c r="E46" i="11" l="1"/>
  <c r="D8" i="17" l="1"/>
  <c r="D7" i="17"/>
  <c r="C12" i="16" l="1"/>
  <c r="H31" i="12"/>
  <c r="H32" i="12"/>
  <c r="O12" i="12"/>
  <c r="O11" i="12"/>
  <c r="O10" i="12"/>
  <c r="P9" i="12"/>
  <c r="AA17" i="12"/>
  <c r="AA2" i="12"/>
  <c r="Q23" i="12" l="1"/>
  <c r="F4" i="16"/>
  <c r="F5" i="16"/>
  <c r="F6" i="16"/>
  <c r="F7" i="16"/>
  <c r="F8" i="16"/>
  <c r="F9" i="16"/>
  <c r="F3" i="16"/>
  <c r="H23" i="12"/>
  <c r="C236" i="11"/>
  <c r="H52" i="12" s="1"/>
  <c r="C222" i="11"/>
  <c r="H38" i="12" s="1"/>
  <c r="C232" i="11"/>
  <c r="H48" i="12" s="1"/>
  <c r="C230" i="11"/>
  <c r="C221" i="11"/>
  <c r="H37" i="12" s="1"/>
  <c r="AB230" i="11" l="1"/>
  <c r="H46" i="12"/>
  <c r="AB224" i="11"/>
  <c r="H40" i="12"/>
  <c r="C234" i="11"/>
  <c r="H50" i="12" s="1"/>
  <c r="C233" i="11"/>
  <c r="H49" i="12" s="1"/>
  <c r="C231" i="11"/>
  <c r="C229" i="11"/>
  <c r="H45" i="12" s="1"/>
  <c r="C228" i="11"/>
  <c r="H44" i="12" s="1"/>
  <c r="C227" i="11"/>
  <c r="H43" i="12" s="1"/>
  <c r="AB231" i="11" l="1"/>
  <c r="H47" i="12"/>
  <c r="C220" i="11"/>
  <c r="H36" i="12" s="1"/>
  <c r="C217" i="11" l="1"/>
  <c r="H33" i="12" s="1"/>
  <c r="H29" i="12" l="1"/>
  <c r="Y73" i="11" l="1"/>
  <c r="Y76" i="11"/>
  <c r="Y74" i="11"/>
  <c r="G6" i="16" l="1"/>
  <c r="H6" i="16"/>
  <c r="J6" i="16" s="1"/>
  <c r="AB76" i="11"/>
  <c r="AB72" i="11"/>
  <c r="H3" i="16"/>
  <c r="G3" i="16"/>
  <c r="C219" i="11"/>
  <c r="H35" i="12" s="1"/>
  <c r="G5" i="16"/>
  <c r="AB74" i="11"/>
  <c r="H5" i="16"/>
  <c r="J5" i="16" s="1"/>
  <c r="C218" i="11"/>
  <c r="H34" i="12" s="1"/>
  <c r="AB73" i="11"/>
  <c r="H4" i="16"/>
  <c r="J4" i="16" s="1"/>
  <c r="G4" i="16"/>
  <c r="AB242" i="11"/>
  <c r="J3" i="16" l="1"/>
  <c r="AB34" i="11"/>
  <c r="AB165" i="11" l="1"/>
  <c r="AB162" i="11"/>
  <c r="AB164" i="11"/>
  <c r="AB163" i="11"/>
  <c r="B145" i="11" l="1"/>
  <c r="C212" i="11" l="1"/>
  <c r="H28" i="12" s="1"/>
  <c r="AB27" i="11" l="1"/>
  <c r="AB41" i="11" l="1"/>
  <c r="AB246" i="11" l="1"/>
  <c r="AB245" i="11"/>
  <c r="AB244" i="11"/>
  <c r="AB243" i="11"/>
  <c r="AC159" i="11" l="1"/>
  <c r="F161" i="11" s="1"/>
  <c r="BG27" i="11" l="1"/>
  <c r="B5" i="12" s="1"/>
  <c r="AB36" i="11" l="1"/>
  <c r="AB35" i="11"/>
  <c r="AB54" i="11"/>
  <c r="AB32" i="11" l="1"/>
  <c r="AB198" i="11" l="1"/>
  <c r="AC192" i="11"/>
  <c r="F194" i="11" s="1"/>
  <c r="AB187" i="11"/>
  <c r="AC185" i="11"/>
  <c r="AB180" i="11"/>
  <c r="AC175" i="11"/>
  <c r="F177" i="11" s="1"/>
  <c r="AB170" i="11"/>
  <c r="AC167" i="11"/>
  <c r="F169" i="11" s="1"/>
  <c r="AB156" i="11"/>
  <c r="AB155" i="11"/>
  <c r="AC152" i="11"/>
  <c r="F154" i="11" s="1"/>
  <c r="AC147" i="11"/>
  <c r="F149" i="11" s="1"/>
  <c r="U70" i="11"/>
  <c r="B66" i="11"/>
  <c r="Y77" i="11" s="1"/>
  <c r="Y113" i="11" s="1"/>
  <c r="AB62" i="11"/>
  <c r="AB44" i="11"/>
  <c r="AB40" i="11"/>
  <c r="AB39" i="11"/>
  <c r="Y37" i="11"/>
  <c r="D37" i="11"/>
  <c r="AB33" i="11"/>
  <c r="AB31" i="11"/>
  <c r="AB30" i="11"/>
  <c r="AB29" i="11"/>
  <c r="AB28" i="11"/>
  <c r="AB13" i="11"/>
  <c r="AB12" i="11"/>
  <c r="AB10" i="11"/>
  <c r="AB8" i="11"/>
  <c r="Y95" i="11" l="1"/>
  <c r="F187" i="11"/>
  <c r="F200" i="11" s="1"/>
  <c r="AB66" i="11"/>
  <c r="AB77" i="11"/>
  <c r="H51" i="12" l="1"/>
  <c r="C223" i="11"/>
  <c r="H39" i="12" s="1"/>
  <c r="H8" i="16"/>
  <c r="J8" i="16" s="1"/>
  <c r="G8" i="16"/>
  <c r="AB95" i="11"/>
  <c r="Y140" i="11"/>
  <c r="K202" i="11" s="1"/>
  <c r="H7" i="16" l="1"/>
  <c r="J7" i="16" s="1"/>
  <c r="AB140" i="11"/>
  <c r="G7" i="16"/>
  <c r="AB113" i="11"/>
  <c r="H9" i="16"/>
  <c r="J9" i="16" s="1"/>
  <c r="G9" i="16"/>
  <c r="AB130" i="11"/>
  <c r="C225" i="11"/>
  <c r="H41" i="12" s="1"/>
  <c r="AB129" i="11"/>
  <c r="AB132" i="11"/>
  <c r="AB131" i="11"/>
  <c r="Q24" i="12" l="1"/>
  <c r="Q25" i="12" s="1"/>
  <c r="G12" i="16"/>
  <c r="H24" i="12" s="1"/>
  <c r="H25" i="12" s="1"/>
  <c r="AB203" i="11"/>
</calcChain>
</file>

<file path=xl/comments1.xml><?xml version="1.0" encoding="utf-8"?>
<comments xmlns="http://schemas.openxmlformats.org/spreadsheetml/2006/main">
  <authors>
    <author>鳥取県庁</author>
  </authors>
  <commentList>
    <comment ref="N11" authorId="0" shapeId="0">
      <text>
        <r>
          <rPr>
            <b/>
            <sz val="9"/>
            <color indexed="81"/>
            <rFont val="ＭＳ Ｐゴシック"/>
            <family val="3"/>
            <charset val="128"/>
          </rPr>
          <t>実績報告の場合は転居後の住所としてください。</t>
        </r>
      </text>
    </comment>
    <comment ref="U70" authorId="0" shapeId="0">
      <text>
        <r>
          <rPr>
            <b/>
            <sz val="9"/>
            <color indexed="81"/>
            <rFont val="ＭＳ Ｐゴシック"/>
            <family val="3"/>
            <charset val="128"/>
          </rPr>
          <t>併用住宅を選択すると、ここに入力欄が表示されます。</t>
        </r>
      </text>
    </comment>
    <comment ref="J242"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<sst xmlns="http://schemas.openxmlformats.org/spreadsheetml/2006/main" count="396" uniqueCount="317">
  <si>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</si>
  <si>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</si>
  <si>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</si>
  <si>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</si>
  <si>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</si>
  <si>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</si>
  <si>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</si>
  <si>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</si>
  <si>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</si>
  <si>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</si>
  <si>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</si>
  <si>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</si>
  <si>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</si>
  <si>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</si>
  <si>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</si>
  <si>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</si>
  <si>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</si>
  <si>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</si>
  <si>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</si>
  <si>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</si>
  <si>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</si>
  <si>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</si>
  <si>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</si>
  <si>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</si>
  <si>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</si>
  <si>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</si>
  <si>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</si>
  <si>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</si>
  <si>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</si>
  <si>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</si>
  <si>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</si>
  <si>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</si>
  <si>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</si>
  <si>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</si>
  <si>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</si>
  <si>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</si>
  <si>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</si>
  <si>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</si>
  <si>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</si>
  <si>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</si>
  <si>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</si>
  <si>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</si>
  <si>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</si>
  <si>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</si>
  <si>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</si>
  <si>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</si>
  <si>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</si>
  <si>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</si>
  <si>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</si>
  <si>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</si>
  <si>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</si>
  <si>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</si>
  <si>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</si>
  <si>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</si>
  <si>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</si>
  <si>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</si>
  <si>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</si>
  <si>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</si>
  <si>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</si>
  <si>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</si>
  <si>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</si>
  <si>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</si>
  <si>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</si>
  <si>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</si>
  <si>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</si>
  <si>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</si>
  <si>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</si>
  <si>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</si>
  <si>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</si>
  <si>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</si>
  <si>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</si>
  <si>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</si>
  <si>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</si>
  <si>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</si>
  <si>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</si>
  <si>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</si>
  <si>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</si>
  <si>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</si>
  <si>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</si>
  <si>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</si>
  <si>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</si>
  <si>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</si>
  <si>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</si>
  <si>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</si>
  <si>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</si>
  <si>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</si>
  <si>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</si>
  <si>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</si>
  <si>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</si>
  <si>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</si>
  <si>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</si>
  <si>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</si>
  <si>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</si>
  <si>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</si>
  <si>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</si>
  <si>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</si>
  <si>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</si>
  <si>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</si>
  <si>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⑤新築することで直系親族世帯と新たに同居すること。</t>
    <rPh sb="1" eb="3">
      <t>シンチク</t>
    </rPh>
    <rPh sb="8" eb="14">
      <t>チョッケイシンゾクセタイ</t>
    </rPh>
    <rPh sb="15" eb="16">
      <t>アラ</t>
    </rPh>
    <phoneticPr fontId="1"/>
  </si>
  <si>
    <t>④新築することで直系親族世帯と新たに近居すること。</t>
    <rPh sb="1" eb="3">
      <t>シンチク</t>
    </rPh>
    <rPh sb="8" eb="14">
      <t>チョッケイシンゾクセタイ</t>
    </rPh>
    <rPh sb="15" eb="16">
      <t>アラ</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</si>
  <si>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</si>
  <si>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</si>
  <si>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</si>
  <si>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</si>
  <si>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</si>
  <si>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</si>
  <si>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</si>
  <si>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</si>
  <si>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</si>
  <si>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</si>
  <si>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</si>
  <si>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</si>
  <si>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</si>
  <si>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</si>
  <si>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</si>
  <si>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</si>
  <si>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</si>
  <si>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</si>
  <si>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</si>
  <si>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</si>
  <si>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</si>
  <si>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</si>
  <si>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</si>
  <si>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</si>
  <si>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</si>
  <si>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</si>
  <si>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</si>
  <si>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</si>
  <si>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</si>
  <si>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</si>
  <si>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</si>
  <si>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</si>
  <si>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</si>
  <si>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</si>
  <si>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</si>
  <si>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</si>
  <si>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</si>
  <si>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</si>
  <si>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</si>
  <si>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</si>
  <si>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</si>
  <si>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</si>
  <si>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</si>
  <si>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</si>
  <si>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</si>
  <si>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</si>
  <si>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</si>
  <si>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</si>
  <si>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</si>
  <si>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</si>
  <si>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</si>
  <si>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</si>
  <si>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</si>
  <si>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</si>
  <si>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</si>
  <si>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</si>
  <si>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</si>
  <si>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</si>
  <si>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</si>
  <si>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</si>
  <si>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</si>
  <si>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</si>
  <si>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</si>
  <si>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</si>
  <si>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</si>
  <si>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</si>
  <si>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</si>
  <si>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</si>
  <si>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</si>
  <si>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</si>
  <si>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</si>
  <si>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</si>
  <si>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</si>
  <si>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</si>
  <si>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</si>
  <si>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</si>
  <si>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</si>
  <si>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</si>
  <si>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</si>
  <si>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</si>
  <si>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</si>
  <si>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</si>
  <si>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</si>
  <si>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</si>
  <si>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</si>
  <si>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</si>
  <si>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</si>
  <si>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</si>
  <si>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</si>
  <si>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</si>
  <si>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</si>
  <si>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</si>
  <si>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</si>
  <si>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</si>
  <si>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</si>
  <si>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</si>
  <si>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</si>
  <si>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</si>
  <si>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</si>
  <si>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</si>
  <si>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</si>
  <si>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</si>
  <si>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r>
      <t>・</t>
    </r>
    <r>
      <rPr>
        <sz val="10"/>
        <color rgb="FFFF0000"/>
        <rFont val="ＭＳ Ｐ明朝"/>
        <family val="1"/>
        <charset val="128"/>
      </rPr>
      <t>含水率20%以下</t>
    </r>
    <r>
      <rPr>
        <sz val="10"/>
        <color theme="1"/>
        <rFont val="ＭＳ Ｐ明朝"/>
        <family val="1"/>
        <charset val="128"/>
      </rPr>
      <t>の県産内外装材（木塀、門含む。）を１m2以上使用する場合、</t>
    </r>
    <r>
      <rPr>
        <sz val="10"/>
        <color rgb="FFFF0000"/>
        <rFont val="ＭＳ Ｐ明朝"/>
        <family val="1"/>
        <charset val="128"/>
      </rPr>
      <t>見付面積</t>
    </r>
    <r>
      <rPr>
        <sz val="10"/>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</si>
  <si>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</si>
  <si>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</si>
  <si>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</si>
  <si>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</si>
  <si>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</si>
  <si>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</si>
  <si>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</si>
  <si>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</si>
  <si>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</si>
  <si>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</si>
  <si>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</si>
  <si>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</si>
  <si>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</si>
  <si>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</si>
  <si>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</si>
  <si>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</si>
  <si>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</si>
  <si>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</si>
  <si>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</si>
  <si>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</si>
  <si>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</si>
  <si>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</si>
  <si>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</si>
  <si>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</si>
  <si>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t>　私は、とっとり住まいる支援事業補助金交付要綱を熟読し、交付申請（実績報告）内容について上記のとおり確認しました。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rPh sb="44" eb="45">
      <t>ウエ</t>
    </rPh>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</si>
  <si>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</si>
  <si>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</si>
  <si>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</si>
  <si>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</si>
  <si>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</si>
  <si>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</si>
  <si>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</si>
  <si>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</si>
  <si>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</si>
  <si>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在来軸組工法</t>
  </si>
  <si>
    <t>とっとり住まいる支援事業建設等報告書【新築用】</t>
    <rPh sb="4" eb="5">
      <t>ス</t>
    </rPh>
    <rPh sb="8" eb="12">
      <t>シエンジギョウ</t>
    </rPh>
    <rPh sb="12" eb="14">
      <t>ケンセツ</t>
    </rPh>
    <rPh sb="14" eb="15">
      <t>トウ</t>
    </rPh>
    <rPh sb="15" eb="17">
      <t>ホウコク</t>
    </rPh>
    <rPh sb="17" eb="18">
      <t>ショ</t>
    </rPh>
    <rPh sb="19" eb="21">
      <t>シンチク</t>
    </rPh>
    <rPh sb="21" eb="22">
      <t>ヨウ</t>
    </rPh>
    <phoneticPr fontId="1"/>
  </si>
  <si>
    <t>とっとり住まいる支援事業補助金　実績報告書</t>
    <rPh sb="4" eb="5">
      <t>ス</t>
    </rPh>
    <rPh sb="8" eb="15">
      <t>シエンジギョウホジョキン</t>
    </rPh>
    <rPh sb="16" eb="18">
      <t>ジッセキ</t>
    </rPh>
    <rPh sb="18" eb="21">
      <t>ホウコクショ</t>
    </rPh>
    <phoneticPr fontId="1"/>
  </si>
  <si>
    <t>とっとり住まいる支援事業建築等報告書【新築用】</t>
    <rPh sb="12" eb="15">
      <t>ケンチクナド</t>
    </rPh>
    <rPh sb="15" eb="17">
      <t>ホウコク</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</si>
  <si>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</si>
  <si>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</si>
  <si>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</si>
  <si>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</si>
  <si>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</si>
  <si>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</si>
  <si>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</si>
  <si>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</si>
  <si>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</si>
  <si>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</si>
  <si>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</si>
  <si>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</si>
  <si>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</si>
  <si>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</si>
  <si>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</si>
  <si>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</si>
  <si>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県産規格材</t>
    <rPh sb="0" eb="2">
      <t>ケンサン</t>
    </rPh>
    <rPh sb="2" eb="5">
      <t>キカクザイ</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</si>
  <si>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</si>
  <si>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</si>
  <si>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</si>
  <si>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様式第３号（第17条関係）</t>
    <rPh sb="0" eb="2">
      <t>ヨウシキ</t>
    </rPh>
    <rPh sb="2" eb="3">
      <t>ダイ</t>
    </rPh>
    <rPh sb="4" eb="5">
      <t>ゴウ</t>
    </rPh>
    <rPh sb="6" eb="7">
      <t>ダイ</t>
    </rPh>
    <rPh sb="9" eb="10">
      <t>ジョウ</t>
    </rPh>
    <rPh sb="10" eb="12">
      <t>カンケイ</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</si>
  <si>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</si>
  <si>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</si>
  <si>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</si>
  <si>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とっとり住まいる支援事業補助金実績報告書</t>
    <rPh sb="4" eb="5">
      <t>ス</t>
    </rPh>
    <rPh sb="8" eb="12">
      <t>シエンジギョウ</t>
    </rPh>
    <rPh sb="12" eb="15">
      <t>ホジョキン</t>
    </rPh>
    <rPh sb="15" eb="17">
      <t>ジッセキ</t>
    </rPh>
    <rPh sb="17" eb="20">
      <t>ホウコクショ</t>
    </rPh>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</si>
  <si>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</si>
  <si>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</si>
  <si>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</si>
  <si>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</si>
  <si>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</si>
  <si>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</si>
  <si>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</si>
  <si>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</si>
  <si>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</si>
  <si>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</si>
  <si>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←金額は交付決定状況入力シートと連動しますので必ず入力してください。</t>
    <rPh sb="1" eb="3">
      <t>キンガク</t>
    </rPh>
    <rPh sb="4" eb="6">
      <t>コウフ</t>
    </rPh>
    <rPh sb="6" eb="8">
      <t>ケッテイ</t>
    </rPh>
    <rPh sb="8" eb="10">
      <t>ジョウキョウ</t>
    </rPh>
    <rPh sb="10" eb="12">
      <t>ニュウリョク</t>
    </rPh>
    <rPh sb="16" eb="18">
      <t>レンドウ</t>
    </rPh>
    <rPh sb="23" eb="24">
      <t>カナラ</t>
    </rPh>
    <rPh sb="25" eb="27">
      <t>ニュウリョク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</si>
  <si>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</si>
  <si>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</si>
  <si>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</si>
  <si>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実績報告用</t>
    <rPh sb="0" eb="2">
      <t>ジッセキ</t>
    </rPh>
    <rPh sb="2" eb="5">
      <t>ホウコクヨウ</t>
    </rPh>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</si>
  <si>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</si>
  <si>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</si>
  <si>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　令和　　年　　月　　日付第　　　　　　　　号による交付決定に係る事業の実績について、鳥取県補助金等交付規則第17条第１項の規定により、下記のとおり報告します。</t>
    <phoneticPr fontId="1"/>
  </si>
  <si>
    <t>令和　年　月　日</t>
    <rPh sb="0" eb="2">
      <t>レイワ</t>
    </rPh>
    <rPh sb="3" eb="4">
      <t>トシ</t>
    </rPh>
    <rPh sb="5" eb="6">
      <t>ツキ</t>
    </rPh>
    <rPh sb="7" eb="8">
      <t>ヒ</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</si>
  <si>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</si>
  <si>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</si>
  <si>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</si>
  <si>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</si>
  <si>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</si>
  <si>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</si>
  <si>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</si>
  <si>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</si>
  <si>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</si>
  <si>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</si>
  <si>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</si>
  <si>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①申請日時点で子育て世帯等であること。</t>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</si>
  <si>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</si>
  <si>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</si>
  <si>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</si>
  <si>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</si>
  <si>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</si>
  <si>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国補助事業『こどもみらい住宅支援事業』の補助利用者である</t>
    <rPh sb="0" eb="5">
      <t>クニホジョジギョウ</t>
    </rPh>
    <rPh sb="20" eb="22">
      <t>ホジョ</t>
    </rPh>
    <rPh sb="22" eb="24">
      <t>リヨウ</t>
    </rPh>
    <rPh sb="24" eb="25">
      <t>シャ</t>
    </rPh>
    <phoneticPr fontId="1"/>
  </si>
  <si>
    <t>補助対象を同一とする県費を財源とする他の補助事業を利用していないこと。</t>
    <phoneticPr fontId="1"/>
  </si>
  <si>
    <t>※国事業『こどもみらい住宅支援事業』補助利用者にあっては補助額は０円となります。</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</si>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</sst>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s>
  <fonts count="2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40">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10" xfId="0" applyFont="1" applyBorder="1" applyAlignment="1">
      <alignment vertical="center" wrapText="1"/>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6" fillId="0" borderId="0" xfId="0" applyFont="1" applyBorder="1" applyAlignment="1">
      <alignment horizontal="righ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5" fillId="3" borderId="0" xfId="0" applyFont="1" applyFill="1">
      <alignment vertical="center"/>
    </xf>
    <xf numFmtId="0" fontId="26" fillId="3" borderId="0" xfId="0" applyFont="1" applyFill="1">
      <alignment vertical="center"/>
    </xf>
    <xf numFmtId="0" fontId="26" fillId="3" borderId="12" xfId="0" applyFont="1" applyFill="1" applyBorder="1" applyAlignment="1" applyProtection="1">
      <alignment vertical="center"/>
      <protection locked="0"/>
    </xf>
    <xf numFmtId="0" fontId="27" fillId="0" borderId="0" xfId="0" applyFont="1">
      <alignment vertical="center"/>
    </xf>
    <xf numFmtId="0" fontId="23" fillId="0" borderId="0" xfId="0" applyFont="1" applyAlignment="1">
      <alignment vertical="center" wrapText="1"/>
    </xf>
    <xf numFmtId="0" fontId="23" fillId="2" borderId="12" xfId="0" applyFont="1" applyFill="1" applyBorder="1" applyAlignment="1">
      <alignment horizontal="center" vertical="center"/>
    </xf>
    <xf numFmtId="38" fontId="23" fillId="0" borderId="12" xfId="1" applyFont="1" applyBorder="1" applyProtection="1">
      <alignment vertical="center"/>
      <protection locked="0"/>
    </xf>
    <xf numFmtId="38" fontId="23" fillId="2" borderId="12" xfId="1" applyFont="1" applyFill="1" applyBorder="1">
      <alignment vertical="center"/>
    </xf>
    <xf numFmtId="38" fontId="23" fillId="2" borderId="12" xfId="0" applyNumberFormat="1" applyFont="1" applyFill="1" applyBorder="1">
      <alignment vertical="center"/>
    </xf>
    <xf numFmtId="0" fontId="23" fillId="2" borderId="12" xfId="0" applyFont="1" applyFill="1" applyBorder="1" applyAlignment="1">
      <alignment vertical="center" shrinkToFit="1"/>
    </xf>
    <xf numFmtId="38" fontId="23" fillId="0" borderId="12" xfId="1" applyFont="1" applyFill="1" applyBorder="1" applyProtection="1">
      <alignment vertical="center"/>
      <protection locked="0"/>
    </xf>
    <xf numFmtId="0" fontId="25"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4" fillId="0" borderId="0" xfId="0" applyNumberFormat="1" applyFont="1" applyAlignment="1">
      <alignment vertical="center"/>
    </xf>
    <xf numFmtId="0" fontId="26" fillId="0" borderId="0" xfId="0" applyFont="1">
      <alignment vertical="center"/>
    </xf>
    <xf numFmtId="176" fontId="4" fillId="0" borderId="3" xfId="0" applyNumberFormat="1" applyFont="1" applyBorder="1" applyAlignment="1">
      <alignment vertical="center"/>
    </xf>
    <xf numFmtId="0" fontId="28" fillId="0" borderId="6" xfId="0" applyFont="1" applyBorder="1" applyAlignment="1">
      <alignment vertical="center"/>
    </xf>
    <xf numFmtId="0" fontId="28" fillId="0" borderId="5" xfId="0" applyFont="1" applyBorder="1">
      <alignment vertical="center"/>
    </xf>
    <xf numFmtId="0" fontId="4" fillId="0" borderId="8" xfId="0" applyFont="1" applyBorder="1">
      <alignment vertical="center"/>
    </xf>
    <xf numFmtId="0" fontId="4" fillId="0" borderId="4" xfId="0" applyFont="1" applyBorder="1">
      <alignment vertical="center"/>
    </xf>
    <xf numFmtId="0" fontId="8" fillId="0" borderId="8" xfId="0" applyFont="1" applyBorder="1" applyAlignment="1">
      <alignment vertical="center"/>
    </xf>
    <xf numFmtId="0" fontId="8" fillId="0" borderId="0" xfId="0" applyFont="1" applyBorder="1">
      <alignment vertical="center"/>
    </xf>
    <xf numFmtId="0" fontId="8" fillId="0" borderId="4" xfId="0" applyFont="1" applyBorder="1">
      <alignment vertical="center"/>
    </xf>
    <xf numFmtId="0" fontId="4" fillId="0" borderId="9" xfId="0" applyFont="1" applyBorder="1">
      <alignment vertical="center"/>
    </xf>
    <xf numFmtId="0" fontId="28" fillId="0" borderId="9" xfId="0" applyFont="1" applyBorder="1" applyAlignment="1">
      <alignment vertical="center"/>
    </xf>
    <xf numFmtId="0" fontId="28" fillId="0" borderId="10" xfId="0" applyFont="1" applyBorder="1">
      <alignment vertical="center"/>
    </xf>
    <xf numFmtId="0" fontId="8" fillId="0" borderId="0" xfId="0" applyFont="1" applyBorder="1" applyAlignment="1"/>
    <xf numFmtId="0" fontId="8" fillId="0" borderId="0" xfId="0" applyFont="1" applyBorder="1" applyAlignment="1">
      <alignment vertical="center" wrapText="1"/>
    </xf>
    <xf numFmtId="0" fontId="11" fillId="0" borderId="0" xfId="0" applyFont="1" applyBorder="1" applyAlignment="1">
      <alignment vertical="center"/>
    </xf>
    <xf numFmtId="0" fontId="9"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0" xfId="0" applyFont="1" applyFill="1" applyProtection="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0" xfId="0" applyFont="1" applyFill="1">
      <alignment vertical="center"/>
    </xf>
    <xf numFmtId="0" fontId="9" fillId="0" borderId="0" xfId="0"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center" vertical="center"/>
    </xf>
    <xf numFmtId="181" fontId="4" fillId="0" borderId="0" xfId="0" applyNumberFormat="1" applyFont="1" applyBorder="1" applyAlignment="1" applyProtection="1">
      <alignment horizontal="right" vertical="center"/>
      <protection locked="0"/>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9" fillId="0" borderId="0" xfId="0" applyFont="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4" fillId="0" borderId="12"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6"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10"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9" fontId="4" fillId="0" borderId="2"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0" xfId="0" applyFont="1" applyAlignment="1">
      <alignment horizontal="left" vertical="top" wrapTex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9" fillId="0" borderId="0" xfId="0" applyFont="1" applyBorder="1" applyAlignment="1">
      <alignment horizontal="center" vertical="center"/>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0"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13" fillId="0" borderId="0" xfId="0" applyFont="1" applyAlignment="1">
      <alignment horizontal="left"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183" fontId="4" fillId="2" borderId="12" xfId="0" applyNumberFormat="1" applyFont="1" applyFill="1" applyBorder="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xf>
    <xf numFmtId="0" fontId="4" fillId="0" borderId="12" xfId="0" applyFont="1" applyBorder="1" applyAlignment="1" applyProtection="1">
      <alignment horizontal="center" vertical="center" wrapText="1"/>
      <protection locked="0"/>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0" xfId="0" applyFont="1" applyAlignment="1">
      <alignment vertical="center" wrapText="1"/>
    </xf>
    <xf numFmtId="0" fontId="24" fillId="0" borderId="10" xfId="0" applyFont="1" applyBorder="1" applyAlignment="1">
      <alignment horizontal="left" vertical="center" wrapText="1"/>
    </xf>
    <xf numFmtId="0" fontId="4" fillId="0" borderId="0" xfId="0" applyFont="1" applyAlignment="1">
      <alignment horizontal="left" vertical="top" wrapText="1"/>
    </xf>
    <xf numFmtId="0" fontId="22" fillId="0" borderId="0" xfId="0" applyFont="1" applyAlignment="1">
      <alignment horizontal="center" vertical="center"/>
    </xf>
    <xf numFmtId="49" fontId="4" fillId="0" borderId="0" xfId="0" applyNumberFormat="1" applyFont="1" applyAlignment="1" applyProtection="1">
      <alignment horizontal="right" vertical="center"/>
      <protection locked="0"/>
    </xf>
    <xf numFmtId="0" fontId="4" fillId="0" borderId="0" xfId="0" applyNumberFormat="1" applyFont="1" applyAlignment="1">
      <alignment horizontal="left" vertical="center" wrapText="1"/>
    </xf>
    <xf numFmtId="0" fontId="4" fillId="0" borderId="0" xfId="0" applyFont="1" applyAlignment="1" applyProtection="1">
      <alignment horizontal="left" vertical="center" wrapText="1"/>
      <protection locked="0"/>
    </xf>
    <xf numFmtId="0" fontId="4" fillId="0" borderId="0" xfId="0" applyNumberFormat="1"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84" fontId="4" fillId="0" borderId="1" xfId="0" applyNumberFormat="1" applyFont="1" applyBorder="1" applyAlignment="1" applyProtection="1">
      <alignment horizontal="right" vertical="center"/>
    </xf>
    <xf numFmtId="184" fontId="4" fillId="0" borderId="2" xfId="0" applyNumberFormat="1" applyFont="1" applyBorder="1" applyAlignment="1" applyProtection="1">
      <alignment horizontal="right" vertical="center"/>
    </xf>
    <xf numFmtId="184" fontId="4" fillId="0" borderId="1" xfId="0" applyNumberFormat="1" applyFont="1" applyBorder="1" applyAlignment="1">
      <alignment horizontal="right" vertical="center"/>
    </xf>
    <xf numFmtId="184" fontId="4" fillId="0" borderId="2" xfId="0" applyNumberFormat="1" applyFont="1" applyBorder="1" applyAlignment="1">
      <alignment horizontal="right"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5"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cellXfs>
  <cellStyles count="2">
    <cellStyle name="桁区切り" xfId="1" builtinId="6"/>
    <cellStyle name="標準" xfId="0" builtinId="0"/>
  </cellStyles>
  <dxfs count="7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48"/>
  <sheetViews>
    <sheetView showGridLines="0" view="pageBreakPreview" zoomScaleNormal="100" zoomScaleSheetLayoutView="100" workbookViewId="0">
      <selection activeCell="B49" sqref="B49"/>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10.453125" style="4" customWidth="1"/>
    <col min="29" max="29" width="6.36328125" style="4" customWidth="1"/>
    <col min="30"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168</v>
      </c>
      <c r="K1" s="2"/>
      <c r="L1" s="2"/>
      <c r="M1" s="2"/>
      <c r="N1" s="2"/>
      <c r="O1" s="2"/>
      <c r="P1" s="2"/>
      <c r="Q1" s="2"/>
      <c r="R1" s="2"/>
      <c r="Z1" s="65"/>
      <c r="AA1" s="71" t="s">
        <v>280</v>
      </c>
      <c r="AC1" s="5" t="s">
        <v>82</v>
      </c>
      <c r="BG1" s="1" t="s">
        <v>134</v>
      </c>
      <c r="BH1" s="1" t="s">
        <v>152</v>
      </c>
    </row>
    <row r="2" spans="1:60" ht="3.75" customHeight="1" x14ac:dyDescent="0.2">
      <c r="K2" s="2"/>
      <c r="L2" s="2"/>
      <c r="M2" s="2"/>
      <c r="N2" s="2"/>
      <c r="O2" s="2"/>
      <c r="P2" s="2"/>
      <c r="Q2" s="2"/>
      <c r="R2" s="2"/>
      <c r="AC2" s="5" t="s">
        <v>200</v>
      </c>
      <c r="BG2" s="1" t="s">
        <v>135</v>
      </c>
      <c r="BH2" s="1" t="s">
        <v>153</v>
      </c>
    </row>
    <row r="3" spans="1:60" ht="16.5" x14ac:dyDescent="0.2">
      <c r="A3" s="138" t="s">
        <v>238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C3" s="5" t="s">
        <v>79</v>
      </c>
      <c r="BG3" s="1" t="s">
        <v>136</v>
      </c>
      <c r="BH3" s="1" t="s">
        <v>154</v>
      </c>
    </row>
    <row r="4" spans="1:60" ht="1.5" customHeight="1" x14ac:dyDescent="0.2">
      <c r="AC4" s="5" t="s">
        <v>201</v>
      </c>
      <c r="BG4" s="1" t="s">
        <v>137</v>
      </c>
      <c r="BH4" s="1" t="s">
        <v>153</v>
      </c>
    </row>
    <row r="5" spans="1:60" x14ac:dyDescent="0.2">
      <c r="A5" s="137" t="s">
        <v>225</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BG5" s="1" t="s">
        <v>138</v>
      </c>
      <c r="BH5" s="1" t="s">
        <v>152</v>
      </c>
    </row>
    <row r="6" spans="1:60"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BG6" s="1" t="s">
        <v>139</v>
      </c>
      <c r="BH6" s="1" t="s">
        <v>152</v>
      </c>
    </row>
    <row r="7" spans="1:60" ht="7.5" customHeight="1" x14ac:dyDescent="0.2">
      <c r="BG7" s="1" t="s">
        <v>140</v>
      </c>
      <c r="BH7" s="1" t="s">
        <v>152</v>
      </c>
    </row>
    <row r="8" spans="1:60" x14ac:dyDescent="0.2">
      <c r="C8" s="254"/>
      <c r="D8" s="254"/>
      <c r="E8" s="254"/>
      <c r="F8" s="254"/>
      <c r="G8" s="1" t="s">
        <v>8</v>
      </c>
      <c r="H8" s="255"/>
      <c r="I8" s="255"/>
      <c r="J8" s="1" t="s">
        <v>23</v>
      </c>
      <c r="K8" s="255"/>
      <c r="L8" s="255"/>
      <c r="M8" s="1" t="s">
        <v>7</v>
      </c>
      <c r="AB8" s="5" t="str">
        <f>IF(OR(C8="",H8="",K8=""),"←リストから選択してください（和暦年月日）","")</f>
        <v>←リストから選択してください（和暦年月日）</v>
      </c>
      <c r="BG8" s="1" t="s">
        <v>155</v>
      </c>
      <c r="BH8" s="1" t="s">
        <v>152</v>
      </c>
    </row>
    <row r="9" spans="1:60" ht="3" customHeight="1" x14ac:dyDescent="0.2">
      <c r="BG9" s="1" t="s">
        <v>141</v>
      </c>
      <c r="BH9" s="1" t="s">
        <v>154</v>
      </c>
    </row>
    <row r="10" spans="1:60" x14ac:dyDescent="0.2">
      <c r="K10" s="6" t="s">
        <v>22</v>
      </c>
      <c r="L10" s="7" t="s">
        <v>12</v>
      </c>
      <c r="M10" s="8"/>
      <c r="N10" s="9" t="s">
        <v>10</v>
      </c>
      <c r="O10" s="221"/>
      <c r="P10" s="221"/>
      <c r="Q10" s="221"/>
      <c r="R10" s="221"/>
      <c r="S10" s="221"/>
      <c r="T10" s="221"/>
      <c r="U10" s="221"/>
      <c r="V10" s="221"/>
      <c r="W10" s="221"/>
      <c r="X10" s="221"/>
      <c r="Y10" s="221"/>
      <c r="Z10" s="222"/>
      <c r="AA10" s="10"/>
      <c r="AB10" s="5" t="str">
        <f>IF(O10="","←直接郵便番号を記入してください","")</f>
        <v>←直接郵便番号を記入してください</v>
      </c>
      <c r="BG10" s="1" t="s">
        <v>142</v>
      </c>
      <c r="BH10" s="1" t="s">
        <v>154</v>
      </c>
    </row>
    <row r="11" spans="1:60" ht="26.25" customHeight="1" x14ac:dyDescent="0.2">
      <c r="L11" s="11"/>
      <c r="M11" s="12"/>
      <c r="N11" s="259"/>
      <c r="O11" s="260"/>
      <c r="P11" s="260"/>
      <c r="Q11" s="260"/>
      <c r="R11" s="260"/>
      <c r="S11" s="260"/>
      <c r="T11" s="260"/>
      <c r="U11" s="260"/>
      <c r="V11" s="260"/>
      <c r="W11" s="260"/>
      <c r="X11" s="260"/>
      <c r="Y11" s="260"/>
      <c r="Z11" s="261"/>
      <c r="AA11" s="10"/>
      <c r="AB11" s="5" t="s">
        <v>282</v>
      </c>
      <c r="BG11" s="1" t="s">
        <v>143</v>
      </c>
      <c r="BH11" s="1" t="s">
        <v>154</v>
      </c>
    </row>
    <row r="12" spans="1:60" x14ac:dyDescent="0.2">
      <c r="L12" s="13" t="s">
        <v>6</v>
      </c>
      <c r="M12" s="14"/>
      <c r="N12" s="214"/>
      <c r="O12" s="215"/>
      <c r="P12" s="215"/>
      <c r="Q12" s="215"/>
      <c r="R12" s="215"/>
      <c r="S12" s="215"/>
      <c r="T12" s="215"/>
      <c r="U12" s="215"/>
      <c r="V12" s="215"/>
      <c r="W12" s="215"/>
      <c r="X12" s="215"/>
      <c r="Y12" s="215"/>
      <c r="Z12" s="216"/>
      <c r="AB12" s="5" t="str">
        <f>IF(N12="","←直接建築主の氏名を記入してください","")</f>
        <v>←直接建築主の氏名を記入してください</v>
      </c>
      <c r="BG12" s="1" t="s">
        <v>144</v>
      </c>
      <c r="BH12" s="1" t="s">
        <v>154</v>
      </c>
    </row>
    <row r="13" spans="1:60" x14ac:dyDescent="0.2">
      <c r="L13" s="13" t="s">
        <v>9</v>
      </c>
      <c r="M13" s="14"/>
      <c r="N13" s="256"/>
      <c r="O13" s="257"/>
      <c r="P13" s="257"/>
      <c r="Q13" s="257"/>
      <c r="R13" s="257"/>
      <c r="S13" s="257"/>
      <c r="T13" s="257"/>
      <c r="U13" s="257"/>
      <c r="V13" s="257"/>
      <c r="W13" s="257"/>
      <c r="X13" s="257"/>
      <c r="Y13" s="257"/>
      <c r="Z13" s="258"/>
      <c r="AB13" s="5" t="str">
        <f>IF(N13="","←直接電話番号を記入してください","")</f>
        <v>←直接電話番号を記入してください</v>
      </c>
      <c r="BG13" s="1" t="s">
        <v>145</v>
      </c>
      <c r="BH13" s="1" t="s">
        <v>153</v>
      </c>
    </row>
    <row r="14" spans="1:60" x14ac:dyDescent="0.2">
      <c r="A14" s="1" t="s">
        <v>43</v>
      </c>
      <c r="BG14" s="1" t="s">
        <v>146</v>
      </c>
      <c r="BH14" s="1" t="s">
        <v>153</v>
      </c>
    </row>
    <row r="15" spans="1:60" x14ac:dyDescent="0.2">
      <c r="A15" s="1" t="s">
        <v>42</v>
      </c>
      <c r="AA15" s="15"/>
      <c r="BG15" s="1" t="s">
        <v>147</v>
      </c>
      <c r="BH15" s="1" t="s">
        <v>153</v>
      </c>
    </row>
    <row r="16" spans="1:60" ht="26.25" customHeight="1" x14ac:dyDescent="0.2">
      <c r="A16" s="137" t="s">
        <v>223</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BG16" s="1" t="s">
        <v>148</v>
      </c>
      <c r="BH16" s="1" t="s">
        <v>153</v>
      </c>
    </row>
    <row r="17" spans="1:60" ht="3" customHeight="1" x14ac:dyDescent="0.2">
      <c r="AA17" s="15"/>
      <c r="BG17" s="1" t="s">
        <v>149</v>
      </c>
      <c r="BH17" s="1" t="s">
        <v>153</v>
      </c>
    </row>
    <row r="18" spans="1:60" x14ac:dyDescent="0.2">
      <c r="A18" s="1" t="s">
        <v>33</v>
      </c>
      <c r="BG18" s="1" t="s">
        <v>150</v>
      </c>
      <c r="BH18" s="1" t="s">
        <v>153</v>
      </c>
    </row>
    <row r="19" spans="1:60" ht="5.5" customHeight="1" x14ac:dyDescent="0.2">
      <c r="AA19" s="15"/>
      <c r="BG19" s="1" t="s">
        <v>151</v>
      </c>
      <c r="BH19" s="1" t="s">
        <v>153</v>
      </c>
    </row>
    <row r="20" spans="1:60" ht="13.5" customHeight="1" x14ac:dyDescent="0.2">
      <c r="B20" s="80"/>
      <c r="C20" s="264" t="s">
        <v>175</v>
      </c>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row>
    <row r="21" spans="1:60" x14ac:dyDescent="0.2">
      <c r="B21" s="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row>
    <row r="22" spans="1:60" x14ac:dyDescent="0.2">
      <c r="B22" s="80"/>
      <c r="C22" s="1" t="s">
        <v>159</v>
      </c>
    </row>
    <row r="23" spans="1:60" x14ac:dyDescent="0.2">
      <c r="C23" s="16" t="s">
        <v>91</v>
      </c>
    </row>
    <row r="24" spans="1:60" x14ac:dyDescent="0.2">
      <c r="C24" s="17" t="s">
        <v>90</v>
      </c>
      <c r="D24" s="16"/>
    </row>
    <row r="25" spans="1:60" x14ac:dyDescent="0.2">
      <c r="C25" s="16" t="s">
        <v>92</v>
      </c>
    </row>
    <row r="26" spans="1:60" x14ac:dyDescent="0.2">
      <c r="C26" s="16" t="s">
        <v>89</v>
      </c>
    </row>
    <row r="27" spans="1:60" x14ac:dyDescent="0.2">
      <c r="D27" s="159" t="s">
        <v>1</v>
      </c>
      <c r="E27" s="160"/>
      <c r="F27" s="160"/>
      <c r="G27" s="160"/>
      <c r="H27" s="161"/>
      <c r="I27" s="150" t="s">
        <v>124</v>
      </c>
      <c r="J27" s="151"/>
      <c r="K27" s="151"/>
      <c r="L27" s="152"/>
      <c r="M27" s="165"/>
      <c r="N27" s="166"/>
      <c r="O27" s="166"/>
      <c r="P27" s="166"/>
      <c r="Q27" s="166"/>
      <c r="R27" s="166"/>
      <c r="S27" s="166"/>
      <c r="T27" s="166"/>
      <c r="U27" s="166"/>
      <c r="V27" s="166"/>
      <c r="W27" s="166"/>
      <c r="X27" s="167"/>
      <c r="AB27" s="5" t="str">
        <f>IF(M27="","←リストから選択してください（市町村名）","")</f>
        <v>←リストから選択してください（市町村名）</v>
      </c>
      <c r="BG27" s="1" t="str">
        <f>IF(M27="","",VLOOKUP(M27,BG1:BH19,2,FALSE))</f>
        <v/>
      </c>
    </row>
    <row r="28" spans="1:60" ht="28.5" customHeight="1" x14ac:dyDescent="0.2">
      <c r="D28" s="162"/>
      <c r="E28" s="163"/>
      <c r="F28" s="163"/>
      <c r="G28" s="163"/>
      <c r="H28" s="164"/>
      <c r="I28" s="156"/>
      <c r="J28" s="157"/>
      <c r="K28" s="157"/>
      <c r="L28" s="157"/>
      <c r="M28" s="157"/>
      <c r="N28" s="157"/>
      <c r="O28" s="157"/>
      <c r="P28" s="157"/>
      <c r="Q28" s="157"/>
      <c r="R28" s="157"/>
      <c r="S28" s="157"/>
      <c r="T28" s="157"/>
      <c r="U28" s="157"/>
      <c r="V28" s="157"/>
      <c r="W28" s="157"/>
      <c r="X28" s="158"/>
      <c r="AB28" s="5" t="str">
        <f>IF(I28="","←市町村名より後の所在地を直接記入してください","")</f>
        <v>←市町村名より後の所在地を直接記入してください</v>
      </c>
    </row>
    <row r="29" spans="1:60" x14ac:dyDescent="0.2">
      <c r="D29" s="159" t="s">
        <v>25</v>
      </c>
      <c r="E29" s="160"/>
      <c r="F29" s="160"/>
      <c r="G29" s="160"/>
      <c r="H29" s="161"/>
      <c r="I29" s="165"/>
      <c r="J29" s="166"/>
      <c r="K29" s="166"/>
      <c r="L29" s="166"/>
      <c r="M29" s="166"/>
      <c r="N29" s="166"/>
      <c r="O29" s="150" t="s">
        <v>128</v>
      </c>
      <c r="P29" s="151"/>
      <c r="Q29" s="151"/>
      <c r="R29" s="152"/>
      <c r="S29" s="262"/>
      <c r="T29" s="263"/>
      <c r="U29" s="263"/>
      <c r="V29" s="263"/>
      <c r="W29" s="151" t="s">
        <v>97</v>
      </c>
      <c r="X29" s="152"/>
      <c r="AB29" s="5" t="str">
        <f>IF(I29="","←リストから選択してください（専用住宅・併用住宅）","")</f>
        <v>←リストから選択してください（専用住宅・併用住宅）</v>
      </c>
    </row>
    <row r="30" spans="1:60" x14ac:dyDescent="0.2">
      <c r="D30" s="159" t="s">
        <v>165</v>
      </c>
      <c r="E30" s="160"/>
      <c r="F30" s="160"/>
      <c r="G30" s="160"/>
      <c r="H30" s="161"/>
      <c r="I30" s="174"/>
      <c r="J30" s="174"/>
      <c r="K30" s="174"/>
      <c r="L30" s="249" t="s">
        <v>169</v>
      </c>
      <c r="M30" s="168" t="s">
        <v>83</v>
      </c>
      <c r="N30" s="169"/>
      <c r="O30" s="169"/>
      <c r="P30" s="169"/>
      <c r="Q30" s="170"/>
      <c r="R30" s="245" t="s">
        <v>84</v>
      </c>
      <c r="S30" s="245"/>
      <c r="T30" s="245"/>
      <c r="U30" s="245"/>
      <c r="V30" s="243"/>
      <c r="W30" s="243"/>
      <c r="X30" s="18" t="s">
        <v>169</v>
      </c>
      <c r="AB30" s="19" t="str">
        <f>IF(I30="","←延床面積を入力してください。",IF(AND(I29="併用住宅",V30=""),"←面積を入力してください。",""))</f>
        <v>←延床面積を入力してください。</v>
      </c>
    </row>
    <row r="31" spans="1:60" x14ac:dyDescent="0.2">
      <c r="D31" s="162"/>
      <c r="E31" s="163"/>
      <c r="F31" s="163"/>
      <c r="G31" s="163"/>
      <c r="H31" s="164"/>
      <c r="I31" s="175"/>
      <c r="J31" s="175"/>
      <c r="K31" s="175"/>
      <c r="L31" s="250"/>
      <c r="M31" s="171"/>
      <c r="N31" s="172"/>
      <c r="O31" s="172"/>
      <c r="P31" s="172"/>
      <c r="Q31" s="173"/>
      <c r="R31" s="246" t="s">
        <v>85</v>
      </c>
      <c r="S31" s="246"/>
      <c r="T31" s="246"/>
      <c r="U31" s="246"/>
      <c r="V31" s="244"/>
      <c r="W31" s="244"/>
      <c r="X31" s="21" t="s">
        <v>169</v>
      </c>
      <c r="AB31" s="19" t="str">
        <f>IF(AND(I29="併用住宅",V31=""),"←面積を入力してください。","")</f>
        <v/>
      </c>
    </row>
    <row r="32" spans="1:60" x14ac:dyDescent="0.2">
      <c r="D32" s="159" t="s">
        <v>31</v>
      </c>
      <c r="E32" s="160"/>
      <c r="F32" s="160"/>
      <c r="G32" s="160"/>
      <c r="H32" s="161"/>
      <c r="I32" s="251"/>
      <c r="J32" s="252"/>
      <c r="K32" s="252"/>
      <c r="L32" s="252"/>
      <c r="M32" s="252"/>
      <c r="N32" s="252"/>
      <c r="O32" s="22" t="s">
        <v>30</v>
      </c>
      <c r="P32" s="53"/>
      <c r="Q32" s="53"/>
      <c r="R32" s="54"/>
      <c r="S32" s="253" t="s">
        <v>129</v>
      </c>
      <c r="T32" s="253"/>
      <c r="U32" s="253"/>
      <c r="V32" s="248"/>
      <c r="W32" s="248"/>
      <c r="X32" s="23" t="s">
        <v>130</v>
      </c>
      <c r="AB32" s="5" t="str">
        <f>IF(I32="","←直接記入してください",IF(V32="","←階数を選択してください。",""))</f>
        <v>←直接記入してください</v>
      </c>
    </row>
    <row r="33" spans="2:28" x14ac:dyDescent="0.2">
      <c r="D33" s="11"/>
      <c r="E33" s="20"/>
      <c r="F33" s="20"/>
      <c r="G33" s="20"/>
      <c r="H33" s="12"/>
      <c r="I33" s="176" t="s">
        <v>94</v>
      </c>
      <c r="J33" s="177"/>
      <c r="K33" s="177"/>
      <c r="L33" s="81"/>
      <c r="M33" s="24" t="s">
        <v>26</v>
      </c>
      <c r="N33" s="24"/>
      <c r="O33" s="25" t="s">
        <v>28</v>
      </c>
      <c r="P33" s="20"/>
      <c r="Q33" s="81"/>
      <c r="R33" s="24" t="s">
        <v>26</v>
      </c>
      <c r="S33" s="24"/>
      <c r="T33" s="26" t="s">
        <v>29</v>
      </c>
      <c r="U33" s="24"/>
      <c r="V33" s="81"/>
      <c r="W33" s="24" t="s">
        <v>61</v>
      </c>
      <c r="X33" s="27"/>
      <c r="AB33" s="5" t="str">
        <f>IF(OR(L33="",Q33="",V33=""),"←直接記入してください","")</f>
        <v>←直接記入してください</v>
      </c>
    </row>
    <row r="34" spans="2:28" x14ac:dyDescent="0.2">
      <c r="D34" s="232" t="s">
        <v>27</v>
      </c>
      <c r="E34" s="232"/>
      <c r="F34" s="232"/>
      <c r="G34" s="232"/>
      <c r="H34" s="232"/>
      <c r="I34" s="241" t="s">
        <v>237</v>
      </c>
      <c r="J34" s="241"/>
      <c r="K34" s="241"/>
      <c r="L34" s="241"/>
      <c r="M34" s="241"/>
      <c r="N34" s="241"/>
      <c r="O34" s="241"/>
      <c r="P34" s="241"/>
      <c r="Q34" s="241"/>
      <c r="R34" s="241"/>
      <c r="S34" s="241"/>
      <c r="T34" s="241"/>
      <c r="U34" s="241"/>
      <c r="V34" s="241"/>
      <c r="W34" s="241"/>
      <c r="X34" s="241"/>
      <c r="AB34" s="5" t="str">
        <f>IF(I34="","←リストから選択してください（在来軸組工法、伝統構法、その他）","")</f>
        <v/>
      </c>
    </row>
    <row r="35" spans="2:28" x14ac:dyDescent="0.2">
      <c r="D35" s="159" t="s">
        <v>2</v>
      </c>
      <c r="E35" s="160"/>
      <c r="F35" s="160"/>
      <c r="G35" s="160"/>
      <c r="H35" s="161"/>
      <c r="I35" s="179" t="s">
        <v>166</v>
      </c>
      <c r="J35" s="180"/>
      <c r="K35" s="180"/>
      <c r="L35" s="180"/>
      <c r="M35" s="180"/>
      <c r="N35" s="178"/>
      <c r="O35" s="178"/>
      <c r="P35" s="178"/>
      <c r="Q35" s="178"/>
      <c r="R35" s="51" t="s">
        <v>8</v>
      </c>
      <c r="S35" s="247"/>
      <c r="T35" s="247"/>
      <c r="U35" s="51" t="s">
        <v>23</v>
      </c>
      <c r="V35" s="247"/>
      <c r="W35" s="247"/>
      <c r="X35" s="52" t="s">
        <v>7</v>
      </c>
      <c r="AB35" s="5" t="str">
        <f>IF(OR(N35="",S35="",V35=""),"←リストから選択してください（和暦年月日）","")</f>
        <v>←リストから選択してください（和暦年月日）</v>
      </c>
    </row>
    <row r="36" spans="2:28" x14ac:dyDescent="0.2">
      <c r="D36" s="162"/>
      <c r="E36" s="163"/>
      <c r="F36" s="163"/>
      <c r="G36" s="163"/>
      <c r="H36" s="164"/>
      <c r="I36" s="223" t="s">
        <v>167</v>
      </c>
      <c r="J36" s="224"/>
      <c r="K36" s="224"/>
      <c r="L36" s="224"/>
      <c r="M36" s="224"/>
      <c r="N36" s="213"/>
      <c r="O36" s="213"/>
      <c r="P36" s="213"/>
      <c r="Q36" s="213"/>
      <c r="R36" s="24" t="s">
        <v>8</v>
      </c>
      <c r="S36" s="225"/>
      <c r="T36" s="225"/>
      <c r="U36" s="24" t="s">
        <v>23</v>
      </c>
      <c r="V36" s="225"/>
      <c r="W36" s="225"/>
      <c r="X36" s="27" t="s">
        <v>7</v>
      </c>
      <c r="AB36" s="5" t="str">
        <f>IF(OR(N36="",S36="",V36=""),"←リストから選択してください（和暦年月日）","")</f>
        <v>←リストから選択してください（和暦年月日）</v>
      </c>
    </row>
    <row r="37" spans="2:28" ht="3.75" customHeight="1" x14ac:dyDescent="0.2">
      <c r="D37" s="240" t="str">
        <f>IF(I34="その他","（工法名）","")</f>
        <v/>
      </c>
      <c r="E37" s="240"/>
      <c r="F37" s="240"/>
      <c r="G37" s="240"/>
      <c r="H37" s="240"/>
      <c r="I37" s="242"/>
      <c r="J37" s="242"/>
      <c r="K37" s="242"/>
      <c r="L37" s="242"/>
      <c r="M37" s="242"/>
      <c r="N37" s="242"/>
      <c r="O37" s="242"/>
      <c r="P37" s="242"/>
      <c r="Q37" s="242"/>
      <c r="R37" s="242"/>
      <c r="S37" s="242"/>
      <c r="T37" s="242"/>
      <c r="U37" s="242"/>
      <c r="V37" s="242"/>
      <c r="W37" s="242"/>
      <c r="X37" s="242"/>
      <c r="Y37" s="28" t="str">
        <f>IF(AND($I$34="その他",I37=""),"←工法を直接入力してください","")</f>
        <v/>
      </c>
    </row>
    <row r="38" spans="2:28" x14ac:dyDescent="0.2">
      <c r="B38" s="80"/>
      <c r="C38" s="1" t="s">
        <v>158</v>
      </c>
    </row>
    <row r="39" spans="2:28" x14ac:dyDescent="0.2">
      <c r="D39" s="150" t="s">
        <v>3</v>
      </c>
      <c r="E39" s="151"/>
      <c r="F39" s="151"/>
      <c r="G39" s="151"/>
      <c r="H39" s="152"/>
      <c r="I39" s="220"/>
      <c r="J39" s="221"/>
      <c r="K39" s="221"/>
      <c r="L39" s="221"/>
      <c r="M39" s="221"/>
      <c r="N39" s="221"/>
      <c r="O39" s="221"/>
      <c r="P39" s="221"/>
      <c r="Q39" s="221"/>
      <c r="R39" s="221"/>
      <c r="S39" s="221"/>
      <c r="T39" s="221"/>
      <c r="U39" s="221"/>
      <c r="V39" s="221"/>
      <c r="W39" s="221"/>
      <c r="X39" s="222"/>
      <c r="AB39" s="5" t="str">
        <f>IF(I39="","←直接記入してください","")</f>
        <v>←直接記入してください</v>
      </c>
    </row>
    <row r="40" spans="2:28" x14ac:dyDescent="0.2">
      <c r="D40" s="150" t="s">
        <v>4</v>
      </c>
      <c r="E40" s="151"/>
      <c r="F40" s="151"/>
      <c r="G40" s="151"/>
      <c r="H40" s="152"/>
      <c r="I40" s="214"/>
      <c r="J40" s="215"/>
      <c r="K40" s="215"/>
      <c r="L40" s="215"/>
      <c r="M40" s="215"/>
      <c r="N40" s="215"/>
      <c r="O40" s="215"/>
      <c r="P40" s="215"/>
      <c r="Q40" s="215"/>
      <c r="R40" s="215"/>
      <c r="S40" s="215"/>
      <c r="T40" s="215"/>
      <c r="U40" s="215"/>
      <c r="V40" s="215"/>
      <c r="W40" s="215"/>
      <c r="X40" s="216"/>
      <c r="AB40" s="5" t="str">
        <f>IF(I40="","←直接記入してください","")</f>
        <v>←直接記入してください</v>
      </c>
    </row>
    <row r="41" spans="2:28" x14ac:dyDescent="0.2">
      <c r="D41" s="150" t="s">
        <v>24</v>
      </c>
      <c r="E41" s="151"/>
      <c r="F41" s="151"/>
      <c r="G41" s="151"/>
      <c r="H41" s="152"/>
      <c r="I41" s="217"/>
      <c r="J41" s="218"/>
      <c r="K41" s="218"/>
      <c r="L41" s="218"/>
      <c r="M41" s="218"/>
      <c r="N41" s="218"/>
      <c r="O41" s="218"/>
      <c r="P41" s="218"/>
      <c r="Q41" s="218"/>
      <c r="R41" s="218"/>
      <c r="S41" s="218"/>
      <c r="T41" s="218"/>
      <c r="U41" s="218"/>
      <c r="V41" s="218"/>
      <c r="W41" s="218"/>
      <c r="X41" s="219"/>
      <c r="AB41" s="5" t="str">
        <f>IF(I41="","←直接記入してください(0857-00-000等）","")</f>
        <v>←直接記入してください(0857-00-000等）</v>
      </c>
    </row>
    <row r="42" spans="2:28" ht="5.5" customHeight="1" x14ac:dyDescent="0.2"/>
    <row r="43" spans="2:28" x14ac:dyDescent="0.2">
      <c r="B43" s="80"/>
      <c r="C43" s="1" t="s">
        <v>157</v>
      </c>
    </row>
    <row r="44" spans="2:28" x14ac:dyDescent="0.2">
      <c r="B44" s="82"/>
      <c r="D44" s="150" t="s">
        <v>32</v>
      </c>
      <c r="E44" s="151"/>
      <c r="F44" s="151"/>
      <c r="G44" s="151"/>
      <c r="H44" s="152"/>
      <c r="I44" s="165"/>
      <c r="J44" s="166"/>
      <c r="K44" s="166"/>
      <c r="L44" s="166"/>
      <c r="M44" s="166"/>
      <c r="N44" s="167"/>
      <c r="Y44" s="28"/>
      <c r="AB44" s="5" t="str">
        <f>IF(I44="","←リストから選択してください（要・不要）","")</f>
        <v>←リストから選択してください（要・不要）</v>
      </c>
    </row>
    <row r="45" spans="2:28" x14ac:dyDescent="0.2">
      <c r="B45" s="125"/>
      <c r="C45" s="41"/>
      <c r="D45" s="226" t="s">
        <v>301</v>
      </c>
      <c r="E45" s="227"/>
      <c r="F45" s="227"/>
      <c r="G45" s="227"/>
      <c r="H45" s="227"/>
      <c r="I45" s="227"/>
      <c r="J45" s="227"/>
      <c r="K45" s="227"/>
      <c r="L45" s="227"/>
      <c r="M45" s="227"/>
      <c r="N45" s="228"/>
      <c r="O45" s="229"/>
      <c r="P45" s="229"/>
      <c r="Q45" s="229"/>
      <c r="R45" s="126" t="s">
        <v>8</v>
      </c>
      <c r="S45" s="230"/>
      <c r="T45" s="230"/>
      <c r="U45" s="126" t="s">
        <v>23</v>
      </c>
      <c r="V45" s="230"/>
      <c r="W45" s="230"/>
      <c r="X45" s="127" t="s">
        <v>7</v>
      </c>
      <c r="Y45" s="128"/>
      <c r="Z45" s="41"/>
      <c r="AB45" s="5" t="str">
        <f>IF(OR(O45="",S45="",V45=""),"←リストから選択してください（和暦年月日）","")</f>
        <v>←リストから選択してください（和暦年月日）</v>
      </c>
    </row>
    <row r="46" spans="2:28" ht="7.5" customHeight="1" x14ac:dyDescent="0.2">
      <c r="E46" s="55" t="str">
        <f>IF(I44="要","＜実績報告時の提出書類＞検査済証の写し",IF(I44="不要","＜実績報告時の提出書類＞建築工事届の写し",""))</f>
        <v/>
      </c>
    </row>
    <row r="47" spans="2:28" x14ac:dyDescent="0.2">
      <c r="B47" s="80"/>
      <c r="C47" s="1" t="s">
        <v>156</v>
      </c>
    </row>
    <row r="48" spans="2:28" ht="5.5" customHeight="1" x14ac:dyDescent="0.2"/>
    <row r="49" spans="1:28" x14ac:dyDescent="0.2">
      <c r="B49" s="80"/>
      <c r="C49" s="1" t="s">
        <v>310</v>
      </c>
    </row>
    <row r="50" spans="1:28" x14ac:dyDescent="0.2">
      <c r="B50" s="125"/>
      <c r="C50" s="1" t="str">
        <f>IF(B49="✔","⇒本申請とは別に『とっとり未来型省エネ住宅補助金』の申請が必要です。","")</f>
        <v/>
      </c>
    </row>
    <row r="51" spans="1:28" ht="13.5" customHeight="1" x14ac:dyDescent="0.2">
      <c r="B51" s="80"/>
      <c r="C51" s="41" t="s">
        <v>302</v>
      </c>
      <c r="D51" s="129"/>
      <c r="E51" s="41"/>
      <c r="F51" s="41"/>
      <c r="G51" s="41"/>
      <c r="H51" s="41"/>
      <c r="I51" s="41"/>
      <c r="J51" s="41"/>
      <c r="K51" s="41"/>
      <c r="L51" s="41"/>
      <c r="M51" s="41"/>
      <c r="N51" s="41"/>
      <c r="O51" s="41"/>
      <c r="P51" s="41"/>
      <c r="Q51" s="41"/>
      <c r="R51" s="41"/>
      <c r="S51" s="41"/>
      <c r="T51" s="41"/>
      <c r="U51" s="41"/>
      <c r="V51" s="41"/>
      <c r="W51" s="41"/>
      <c r="X51" s="41"/>
      <c r="Y51" s="41"/>
      <c r="Z51" s="41"/>
    </row>
    <row r="52" spans="1:28" ht="5.5" customHeight="1" x14ac:dyDescent="0.2">
      <c r="B52" s="125"/>
      <c r="C52" s="41"/>
      <c r="D52" s="129"/>
      <c r="E52" s="41"/>
      <c r="F52" s="41"/>
      <c r="G52" s="41"/>
      <c r="H52" s="41"/>
      <c r="I52" s="41"/>
      <c r="J52" s="41"/>
      <c r="K52" s="41"/>
      <c r="L52" s="41"/>
      <c r="M52" s="41"/>
      <c r="N52" s="41"/>
      <c r="O52" s="41"/>
      <c r="P52" s="41"/>
      <c r="Q52" s="41"/>
      <c r="R52" s="41"/>
      <c r="S52" s="41"/>
      <c r="T52" s="41"/>
      <c r="U52" s="41"/>
      <c r="V52" s="41"/>
      <c r="W52" s="41"/>
      <c r="X52" s="41"/>
      <c r="Y52" s="41"/>
      <c r="Z52" s="41"/>
    </row>
    <row r="53" spans="1:28" x14ac:dyDescent="0.2">
      <c r="B53" s="80"/>
      <c r="C53" s="1" t="s">
        <v>303</v>
      </c>
    </row>
    <row r="54" spans="1:28" ht="27" customHeight="1" x14ac:dyDescent="0.2">
      <c r="D54" s="208" t="s">
        <v>44</v>
      </c>
      <c r="E54" s="209"/>
      <c r="F54" s="209"/>
      <c r="G54" s="209"/>
      <c r="H54" s="210"/>
      <c r="I54" s="165"/>
      <c r="J54" s="166"/>
      <c r="K54" s="166"/>
      <c r="L54" s="166"/>
      <c r="M54" s="166"/>
      <c r="N54" s="167"/>
      <c r="P54" s="195" t="s">
        <v>70</v>
      </c>
      <c r="Q54" s="195"/>
      <c r="R54" s="195"/>
      <c r="S54" s="195"/>
      <c r="T54" s="195"/>
      <c r="U54" s="195"/>
      <c r="V54" s="195"/>
      <c r="W54" s="195"/>
      <c r="X54" s="195"/>
      <c r="Y54" s="195"/>
      <c r="Z54" s="195"/>
      <c r="AA54" s="195"/>
      <c r="AB54" s="5" t="str">
        <f>IF(I54="","←リストから選択してください（有・無）","")</f>
        <v>←リストから選択してください（有・無）</v>
      </c>
    </row>
    <row r="55" spans="1:28" ht="6.75" customHeight="1" x14ac:dyDescent="0.2">
      <c r="E55" s="16"/>
      <c r="P55" s="30"/>
    </row>
    <row r="56" spans="1:28" x14ac:dyDescent="0.2">
      <c r="B56" s="80"/>
      <c r="C56" s="1" t="s">
        <v>298</v>
      </c>
      <c r="E56" s="16"/>
      <c r="P56" s="30"/>
    </row>
    <row r="57" spans="1:28" ht="5" customHeight="1" x14ac:dyDescent="0.2">
      <c r="D57" s="96" t="str">
        <f>IF(B56="","",IF(B56="✔","＜実績報告時の提出書類&gt;変更後の各階平面図、配置図",""))</f>
        <v/>
      </c>
      <c r="E57" s="16"/>
      <c r="P57" s="30"/>
    </row>
    <row r="58" spans="1:28" x14ac:dyDescent="0.2">
      <c r="A58" s="1" t="s">
        <v>37</v>
      </c>
    </row>
    <row r="59" spans="1:28" x14ac:dyDescent="0.2">
      <c r="B59" s="80"/>
      <c r="C59" s="1" t="s">
        <v>170</v>
      </c>
    </row>
    <row r="61" spans="1:28" x14ac:dyDescent="0.2">
      <c r="B61" s="80"/>
      <c r="C61" s="1" t="s">
        <v>125</v>
      </c>
    </row>
    <row r="62" spans="1:28" x14ac:dyDescent="0.2">
      <c r="D62" s="150" t="s">
        <v>101</v>
      </c>
      <c r="E62" s="151"/>
      <c r="F62" s="151"/>
      <c r="G62" s="151"/>
      <c r="H62" s="152"/>
      <c r="I62" s="153"/>
      <c r="J62" s="154"/>
      <c r="K62" s="154"/>
      <c r="L62" s="154"/>
      <c r="M62" s="154"/>
      <c r="N62" s="154"/>
      <c r="O62" s="154"/>
      <c r="P62" s="154"/>
      <c r="Q62" s="154"/>
      <c r="R62" s="154"/>
      <c r="S62" s="154"/>
      <c r="T62" s="154"/>
      <c r="U62" s="154"/>
      <c r="V62" s="154"/>
      <c r="W62" s="154"/>
      <c r="X62" s="155"/>
      <c r="AB62" s="5" t="str">
        <f>IF(AND(B61="✔",I62=""),"←直接入力してください","")</f>
        <v/>
      </c>
    </row>
    <row r="63" spans="1:28" x14ac:dyDescent="0.2">
      <c r="D63" s="55" t="s">
        <v>205</v>
      </c>
      <c r="E63" s="50"/>
      <c r="F63" s="50"/>
      <c r="G63" s="50"/>
      <c r="H63" s="50"/>
      <c r="I63" s="50"/>
      <c r="J63" s="50"/>
      <c r="K63" s="50"/>
      <c r="L63" s="50"/>
      <c r="M63" s="50"/>
      <c r="N63" s="50"/>
      <c r="O63" s="50"/>
      <c r="P63" s="50"/>
      <c r="Q63" s="50"/>
      <c r="R63" s="50"/>
      <c r="S63" s="50"/>
      <c r="T63" s="50"/>
      <c r="U63" s="50"/>
      <c r="V63" s="50"/>
      <c r="W63" s="50"/>
      <c r="X63" s="50"/>
      <c r="Y63" s="50"/>
      <c r="AB63" s="5"/>
    </row>
    <row r="64" spans="1:28" x14ac:dyDescent="0.2">
      <c r="F64" s="70"/>
      <c r="K64" s="57" t="s">
        <v>197</v>
      </c>
    </row>
    <row r="65" spans="1:39" x14ac:dyDescent="0.2">
      <c r="B65" s="80"/>
      <c r="C65" s="1" t="s">
        <v>126</v>
      </c>
    </row>
    <row r="66" spans="1:39" x14ac:dyDescent="0.2">
      <c r="B66" s="207" t="str">
        <f>IF(AND(B61="✔",B65="✔"),"「プレカットを行う場合は、県内のプレカット工場で加工すること。」と「プレカットを一切使用しない。」のどちらかを✔してください。","")</f>
        <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4" t="str">
        <f>IF(B66="","","×")</f>
        <v/>
      </c>
    </row>
    <row r="67" spans="1:39" x14ac:dyDescent="0.2">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row>
    <row r="68" spans="1:39" x14ac:dyDescent="0.2">
      <c r="AA68" s="40" t="s">
        <v>81</v>
      </c>
    </row>
    <row r="69" spans="1:39" x14ac:dyDescent="0.2">
      <c r="Q69" s="1" t="s">
        <v>196</v>
      </c>
      <c r="T69" s="31"/>
    </row>
    <row r="70" spans="1:39" ht="18" customHeight="1" x14ac:dyDescent="0.2">
      <c r="D70" s="150" t="s">
        <v>51</v>
      </c>
      <c r="E70" s="151"/>
      <c r="F70" s="151"/>
      <c r="G70" s="151"/>
      <c r="H70" s="151"/>
      <c r="I70" s="151"/>
      <c r="J70" s="151"/>
      <c r="K70" s="151"/>
      <c r="L70" s="151"/>
      <c r="M70" s="151"/>
      <c r="N70" s="151"/>
      <c r="O70" s="151"/>
      <c r="P70" s="152"/>
      <c r="Q70" s="150" t="s">
        <v>50</v>
      </c>
      <c r="R70" s="151"/>
      <c r="S70" s="151"/>
      <c r="T70" s="152"/>
      <c r="U70" s="181" t="str">
        <f>IF(I29="併用住宅","併用住宅の場合、住宅部分の使用量","")</f>
        <v/>
      </c>
      <c r="V70" s="181"/>
      <c r="W70" s="181"/>
      <c r="X70" s="181"/>
      <c r="Y70" s="182" t="s">
        <v>111</v>
      </c>
      <c r="Z70" s="182"/>
      <c r="AA70" s="182"/>
    </row>
    <row r="71" spans="1:39" ht="18" customHeight="1" x14ac:dyDescent="0.2">
      <c r="D71" s="200" t="s">
        <v>112</v>
      </c>
      <c r="E71" s="211"/>
      <c r="F71" s="211"/>
      <c r="G71" s="211"/>
      <c r="H71" s="211"/>
      <c r="I71" s="211"/>
      <c r="J71" s="211"/>
      <c r="K71" s="211"/>
      <c r="L71" s="211"/>
      <c r="M71" s="211"/>
      <c r="N71" s="211"/>
      <c r="O71" s="211"/>
      <c r="P71" s="212"/>
      <c r="Q71" s="184"/>
      <c r="R71" s="185"/>
      <c r="S71" s="185"/>
      <c r="T71" s="186"/>
      <c r="U71" s="181"/>
      <c r="V71" s="181"/>
      <c r="W71" s="181"/>
      <c r="X71" s="181"/>
      <c r="Y71" s="183"/>
      <c r="Z71" s="183"/>
      <c r="AA71" s="183"/>
      <c r="AE71" s="1"/>
      <c r="AF71" s="1"/>
      <c r="AG71" s="1"/>
      <c r="AH71" s="32" t="s">
        <v>58</v>
      </c>
      <c r="AI71" s="33">
        <v>10</v>
      </c>
      <c r="AJ71" s="33">
        <v>15</v>
      </c>
      <c r="AK71" s="33">
        <v>20</v>
      </c>
      <c r="AL71" s="33">
        <v>25</v>
      </c>
      <c r="AM71" s="33"/>
    </row>
    <row r="72" spans="1:39" ht="18" customHeight="1" x14ac:dyDescent="0.2">
      <c r="D72" s="34"/>
      <c r="E72" s="197" t="s">
        <v>164</v>
      </c>
      <c r="F72" s="198"/>
      <c r="G72" s="198"/>
      <c r="H72" s="198"/>
      <c r="I72" s="198"/>
      <c r="J72" s="198"/>
      <c r="K72" s="198"/>
      <c r="L72" s="198"/>
      <c r="M72" s="198"/>
      <c r="N72" s="198"/>
      <c r="O72" s="198"/>
      <c r="P72" s="199"/>
      <c r="Q72" s="184"/>
      <c r="R72" s="185"/>
      <c r="S72" s="185"/>
      <c r="T72" s="186"/>
      <c r="U72" s="203"/>
      <c r="V72" s="139"/>
      <c r="W72" s="139"/>
      <c r="X72" s="204"/>
      <c r="Y72" s="187" t="str">
        <f>IF(OR(I29="",Q71=""),"",(IF(I29="専用住宅",IF(Q72&gt;=AL71,AL72,IF(Q72&gt;=AK71,AK72,IF(Q72&gt;=AJ71,AJ72,IF(Q72&gt;=AI71,AI72,"")))),IF(I29="併用住宅",IF(U72&gt;=AL71,AL72,IF(U72&gt;=AK71,AK72,IF(U72&gt;=AJ71,AJ72,IF(U72&gt;=AI71,AI72,""))))))))</f>
        <v/>
      </c>
      <c r="Z72" s="188"/>
      <c r="AA72" s="35" t="s">
        <v>60</v>
      </c>
      <c r="AB72" s="79" t="str">
        <f t="shared" ref="AB72:AB74" si="0">Y72</f>
        <v/>
      </c>
      <c r="AE72" s="1"/>
      <c r="AF72" s="1"/>
      <c r="AG72" s="1"/>
      <c r="AH72" s="32" t="s">
        <v>57</v>
      </c>
      <c r="AI72" s="33">
        <v>15</v>
      </c>
      <c r="AJ72" s="33">
        <v>15</v>
      </c>
      <c r="AK72" s="33">
        <v>15</v>
      </c>
      <c r="AL72" s="33">
        <v>15</v>
      </c>
      <c r="AM72" s="33"/>
    </row>
    <row r="73" spans="1:39" ht="18" customHeight="1" x14ac:dyDescent="0.2">
      <c r="D73" s="34"/>
      <c r="E73" s="36"/>
      <c r="F73" s="200" t="s">
        <v>162</v>
      </c>
      <c r="G73" s="201"/>
      <c r="H73" s="201"/>
      <c r="I73" s="201"/>
      <c r="J73" s="201"/>
      <c r="K73" s="201"/>
      <c r="L73" s="201"/>
      <c r="M73" s="201"/>
      <c r="N73" s="201"/>
      <c r="O73" s="201"/>
      <c r="P73" s="202"/>
      <c r="Q73" s="184"/>
      <c r="R73" s="185"/>
      <c r="S73" s="185"/>
      <c r="T73" s="186"/>
      <c r="U73" s="139"/>
      <c r="V73" s="139"/>
      <c r="W73" s="139"/>
      <c r="X73" s="139"/>
      <c r="Y73" s="187" t="str">
        <f>IF(I29="","",IF(I29="専用住宅",IF(OR(Q73="",Q73=0),"",INT(IF(Q73&gt;=25,MIN(25,Q73),IF(Q73&gt;=20,MIN(20,Q73),IF(Q73&gt;=15,MIN(15,Q73),IF(Q73&lt;15,MIN(10,Q73),0)))))),IF(I29="併用住宅",IF(OR(U73="",U73=0),"",INT(IF(U73&gt;=25,MIN(25,U73),IF(U73&gt;=20,MIN(20,U73),IF(U73&gt;=15,MIN(15,U73),IF(U73&lt;15,MIN(10,U73),0)))))))))</f>
        <v/>
      </c>
      <c r="Z73" s="188"/>
      <c r="AA73" s="35" t="s">
        <v>60</v>
      </c>
      <c r="AB73" s="79" t="str">
        <f t="shared" si="0"/>
        <v/>
      </c>
      <c r="AE73" s="1"/>
      <c r="AF73" s="1"/>
      <c r="AG73" s="1"/>
      <c r="AH73" s="32" t="s">
        <v>59</v>
      </c>
      <c r="AI73" s="33">
        <v>10</v>
      </c>
      <c r="AJ73" s="33">
        <v>15</v>
      </c>
      <c r="AK73" s="33">
        <v>20</v>
      </c>
      <c r="AL73" s="33">
        <v>25</v>
      </c>
      <c r="AM73" s="33"/>
    </row>
    <row r="74" spans="1:39" ht="18" customHeight="1" x14ac:dyDescent="0.2">
      <c r="D74" s="34"/>
      <c r="E74" s="36"/>
      <c r="F74" s="37"/>
      <c r="G74" s="196" t="s">
        <v>93</v>
      </c>
      <c r="H74" s="196"/>
      <c r="I74" s="196"/>
      <c r="J74" s="196"/>
      <c r="K74" s="196"/>
      <c r="L74" s="196"/>
      <c r="M74" s="196"/>
      <c r="N74" s="196"/>
      <c r="O74" s="196"/>
      <c r="P74" s="196"/>
      <c r="Q74" s="184"/>
      <c r="R74" s="185"/>
      <c r="S74" s="185"/>
      <c r="T74" s="186"/>
      <c r="U74" s="139"/>
      <c r="V74" s="139"/>
      <c r="W74" s="139"/>
      <c r="X74" s="139"/>
      <c r="Y74" s="187" t="str">
        <f>IF(I29="","",IF(I29="専用住宅",IF(OR(Q74="",Q74=0),"",IF(Q74&gt;=1,MIN(20,INT(Q74)*2))),IF(I29="併用住宅",IF(OR(U74="",U74=0),"",IF(U74&gt;=1,MIN(20,INT(U74)*2))))))</f>
        <v/>
      </c>
      <c r="Z74" s="188"/>
      <c r="AA74" s="35" t="s">
        <v>0</v>
      </c>
      <c r="AB74" s="79" t="str">
        <f t="shared" si="0"/>
        <v/>
      </c>
      <c r="AE74" s="1"/>
      <c r="AF74" s="1"/>
      <c r="AG74" s="1"/>
      <c r="AH74" s="32"/>
      <c r="AI74" s="33"/>
      <c r="AJ74" s="33"/>
      <c r="AK74" s="33"/>
      <c r="AL74" s="33"/>
      <c r="AM74" s="33"/>
    </row>
    <row r="75" spans="1:39" ht="18" customHeight="1" x14ac:dyDescent="0.2">
      <c r="D75" s="34"/>
      <c r="E75" s="36"/>
      <c r="F75" s="144" t="s">
        <v>113</v>
      </c>
      <c r="G75" s="145"/>
      <c r="H75" s="145"/>
      <c r="I75" s="145"/>
      <c r="J75" s="145"/>
      <c r="K75" s="145"/>
      <c r="L75" s="145"/>
      <c r="M75" s="145"/>
      <c r="N75" s="145"/>
      <c r="O75" s="145"/>
      <c r="P75" s="146"/>
      <c r="Q75" s="184"/>
      <c r="R75" s="185"/>
      <c r="S75" s="185"/>
      <c r="T75" s="186"/>
      <c r="U75" s="139"/>
      <c r="V75" s="139"/>
      <c r="W75" s="139"/>
      <c r="X75" s="139"/>
      <c r="Y75" s="3"/>
      <c r="Z75" s="3"/>
      <c r="AE75" s="1"/>
      <c r="AF75" s="1"/>
      <c r="AG75" s="1"/>
      <c r="AH75" s="32"/>
      <c r="AI75" s="33"/>
      <c r="AJ75" s="33"/>
      <c r="AK75" s="33"/>
      <c r="AL75" s="33"/>
      <c r="AM75" s="33"/>
    </row>
    <row r="76" spans="1:39" ht="18" customHeight="1" x14ac:dyDescent="0.2">
      <c r="D76" s="11"/>
      <c r="E76" s="38"/>
      <c r="F76" s="147" t="s">
        <v>114</v>
      </c>
      <c r="G76" s="148"/>
      <c r="H76" s="148"/>
      <c r="I76" s="148"/>
      <c r="J76" s="148"/>
      <c r="K76" s="148"/>
      <c r="L76" s="148"/>
      <c r="M76" s="148"/>
      <c r="N76" s="148"/>
      <c r="O76" s="148"/>
      <c r="P76" s="149"/>
      <c r="Q76" s="141"/>
      <c r="R76" s="142"/>
      <c r="S76" s="142"/>
      <c r="T76" s="143"/>
      <c r="U76" s="140"/>
      <c r="V76" s="140"/>
      <c r="W76" s="140"/>
      <c r="X76" s="140"/>
      <c r="Y76" s="238" t="str">
        <f>IF(OR(I29="",AND(Q75="",Q76="")),"",MIN(IF(AND(I29="専用住宅",Q75&gt;=1),5,IF(AND(I29="併用住宅",U75&gt;=1),5,0))+IF(AND(I29="専用住宅",Q76&gt;=1),INT(Q76)*0.2,IF(AND(I29="併用住宅",U76&gt;=1),INT(U76)*0.2,0)),15))</f>
        <v/>
      </c>
      <c r="Z76" s="239"/>
      <c r="AA76" s="35" t="s">
        <v>60</v>
      </c>
      <c r="AB76" s="79" t="str">
        <f>Y76</f>
        <v/>
      </c>
      <c r="AE76" s="1"/>
      <c r="AF76" s="1"/>
      <c r="AG76" s="1"/>
      <c r="AH76" s="32"/>
      <c r="AI76" s="33"/>
      <c r="AJ76" s="33"/>
      <c r="AK76" s="33"/>
      <c r="AL76" s="33"/>
      <c r="AM76" s="33"/>
    </row>
    <row r="77" spans="1:39" ht="18" customHeight="1" x14ac:dyDescent="0.2">
      <c r="E77" s="16"/>
      <c r="X77" s="39" t="s">
        <v>80</v>
      </c>
      <c r="Y77" s="205" t="str">
        <f>IF(Y72="","",IF(AND(B20="✔",B22="✔",B38="✔",B43="✔",B47="✔",B53="✔",B59="✔",OR(B61="✔",B65="✔"),B66=""),SUM(Y72:Z76),0))</f>
        <v/>
      </c>
      <c r="Z77" s="206"/>
      <c r="AA77" s="35" t="s">
        <v>0</v>
      </c>
      <c r="AB77" s="5" t="str">
        <f>IF(AND(Y77=0),"←合計金額が算出されない場合は、前のページにチェック漏れ等がありますので御確認ください。","")</f>
        <v/>
      </c>
    </row>
    <row r="78" spans="1:39" x14ac:dyDescent="0.2">
      <c r="A78" s="16" t="s">
        <v>171</v>
      </c>
    </row>
    <row r="79" spans="1:39" x14ac:dyDescent="0.2">
      <c r="A79" s="16"/>
      <c r="B79" s="56" t="s">
        <v>131</v>
      </c>
    </row>
    <row r="80" spans="1:39" x14ac:dyDescent="0.2">
      <c r="A80" s="16" t="s">
        <v>194</v>
      </c>
    </row>
    <row r="81" spans="1:30" x14ac:dyDescent="0.2">
      <c r="A81" s="17" t="s">
        <v>195</v>
      </c>
    </row>
    <row r="82" spans="1:30" x14ac:dyDescent="0.2">
      <c r="A82" s="17" t="s">
        <v>172</v>
      </c>
    </row>
    <row r="83" spans="1:30" x14ac:dyDescent="0.2">
      <c r="A83" s="16"/>
      <c r="B83" s="56" t="s">
        <v>133</v>
      </c>
    </row>
    <row r="84" spans="1:30" x14ac:dyDescent="0.2">
      <c r="A84" s="16" t="s">
        <v>173</v>
      </c>
    </row>
    <row r="85" spans="1:30" x14ac:dyDescent="0.2">
      <c r="A85" s="16"/>
      <c r="B85" s="56" t="s">
        <v>198</v>
      </c>
    </row>
    <row r="86" spans="1:30" x14ac:dyDescent="0.2">
      <c r="A86" s="16" t="s">
        <v>174</v>
      </c>
    </row>
    <row r="87" spans="1:30" x14ac:dyDescent="0.2">
      <c r="A87" s="16"/>
      <c r="B87" s="56" t="s">
        <v>132</v>
      </c>
    </row>
    <row r="88" spans="1:30" x14ac:dyDescent="0.2">
      <c r="A88" s="16" t="s">
        <v>202</v>
      </c>
    </row>
    <row r="89" spans="1:30" x14ac:dyDescent="0.2">
      <c r="A89" s="16"/>
      <c r="B89" s="56" t="s">
        <v>160</v>
      </c>
    </row>
    <row r="90" spans="1:30" x14ac:dyDescent="0.2">
      <c r="A90" s="16"/>
      <c r="B90" s="69" t="s">
        <v>192</v>
      </c>
    </row>
    <row r="91" spans="1:30" x14ac:dyDescent="0.2">
      <c r="A91" s="16" t="s">
        <v>95</v>
      </c>
    </row>
    <row r="92" spans="1:30" s="41" customFormat="1" ht="5.25" customHeight="1" x14ac:dyDescent="0.2"/>
    <row r="93" spans="1:30" x14ac:dyDescent="0.2">
      <c r="A93" s="1" t="s">
        <v>234</v>
      </c>
      <c r="Y93" s="182" t="s">
        <v>111</v>
      </c>
      <c r="Z93" s="182"/>
      <c r="AA93" s="182"/>
    </row>
    <row r="94" spans="1:30" ht="14.25" customHeight="1" x14ac:dyDescent="0.2">
      <c r="B94" s="1" t="s">
        <v>56</v>
      </c>
      <c r="G94" s="42"/>
      <c r="Y94" s="183"/>
      <c r="Z94" s="183"/>
      <c r="AA94" s="183"/>
    </row>
    <row r="95" spans="1:30" x14ac:dyDescent="0.2">
      <c r="B95" s="1" t="s">
        <v>304</v>
      </c>
      <c r="Y95" s="189" t="str">
        <f>IF(AND(Y77&lt;&gt;"",Y77&gt;=15,OR(B97="✔",P97="✔")),IF(B51="✔",0,10),"")</f>
        <v/>
      </c>
      <c r="Z95" s="190"/>
      <c r="AA95" s="35" t="s">
        <v>0</v>
      </c>
      <c r="AB95" s="4" t="str">
        <f>Y95</f>
        <v/>
      </c>
      <c r="AD95" s="4" t="s">
        <v>86</v>
      </c>
    </row>
    <row r="96" spans="1:30" ht="7" customHeight="1" x14ac:dyDescent="0.2">
      <c r="G96" s="42"/>
    </row>
    <row r="97" spans="1:27" ht="11.25" customHeight="1" x14ac:dyDescent="0.2">
      <c r="B97" s="80"/>
      <c r="C97" s="1" t="s">
        <v>53</v>
      </c>
      <c r="P97" s="80"/>
      <c r="Q97" s="1" t="s">
        <v>55</v>
      </c>
      <c r="AA97" s="1"/>
    </row>
    <row r="98" spans="1:27" ht="13.5" customHeight="1" x14ac:dyDescent="0.2">
      <c r="C98" s="1" t="s">
        <v>54</v>
      </c>
      <c r="Q98" s="193" t="s">
        <v>193</v>
      </c>
      <c r="R98" s="193"/>
      <c r="S98" s="193"/>
      <c r="T98" s="193"/>
      <c r="U98" s="193"/>
      <c r="V98" s="193"/>
      <c r="W98" s="193"/>
      <c r="X98" s="193"/>
      <c r="Y98" s="193"/>
      <c r="Z98" s="193"/>
      <c r="AA98" s="193"/>
    </row>
    <row r="99" spans="1:27" ht="7.5" customHeight="1" x14ac:dyDescent="0.2">
      <c r="Q99" s="193"/>
      <c r="R99" s="193"/>
      <c r="S99" s="193"/>
      <c r="T99" s="193"/>
      <c r="U99" s="193"/>
      <c r="V99" s="193"/>
      <c r="W99" s="193"/>
      <c r="X99" s="193"/>
      <c r="Y99" s="193"/>
      <c r="Z99" s="193"/>
      <c r="AA99" s="193"/>
    </row>
    <row r="100" spans="1:27" x14ac:dyDescent="0.2">
      <c r="C100" s="16" t="s">
        <v>48</v>
      </c>
      <c r="Q100" s="16" t="s">
        <v>48</v>
      </c>
      <c r="AA100" s="1"/>
    </row>
    <row r="101" spans="1:27" ht="6.75" customHeight="1" x14ac:dyDescent="0.2">
      <c r="C101" s="194" t="s">
        <v>52</v>
      </c>
      <c r="D101" s="193"/>
      <c r="E101" s="193"/>
      <c r="F101" s="193"/>
      <c r="G101" s="193"/>
      <c r="H101" s="193"/>
      <c r="I101" s="193"/>
      <c r="J101" s="193"/>
      <c r="K101" s="193"/>
      <c r="L101" s="193"/>
      <c r="M101" s="193"/>
      <c r="N101" s="193"/>
      <c r="Q101" s="194" t="s">
        <v>49</v>
      </c>
      <c r="R101" s="194"/>
      <c r="S101" s="194"/>
      <c r="T101" s="194"/>
      <c r="U101" s="194"/>
      <c r="V101" s="194"/>
      <c r="W101" s="194"/>
      <c r="X101" s="194"/>
      <c r="Y101" s="194"/>
      <c r="Z101" s="194"/>
      <c r="AA101" s="194"/>
    </row>
    <row r="102" spans="1:27" ht="6" customHeight="1" x14ac:dyDescent="0.2">
      <c r="C102" s="193"/>
      <c r="D102" s="193"/>
      <c r="E102" s="193"/>
      <c r="F102" s="193"/>
      <c r="G102" s="193"/>
      <c r="H102" s="193"/>
      <c r="I102" s="193"/>
      <c r="J102" s="193"/>
      <c r="K102" s="193"/>
      <c r="L102" s="193"/>
      <c r="M102" s="193"/>
      <c r="N102" s="193"/>
      <c r="Q102" s="194"/>
      <c r="R102" s="194"/>
      <c r="S102" s="194"/>
      <c r="T102" s="194"/>
      <c r="U102" s="194"/>
      <c r="V102" s="194"/>
      <c r="W102" s="194"/>
      <c r="X102" s="194"/>
      <c r="Y102" s="194"/>
      <c r="Z102" s="194"/>
      <c r="AA102" s="194"/>
    </row>
    <row r="103" spans="1:27" x14ac:dyDescent="0.2">
      <c r="C103" s="58" t="s">
        <v>127</v>
      </c>
      <c r="D103" s="59"/>
      <c r="E103" s="59"/>
      <c r="F103" s="59"/>
      <c r="G103" s="59"/>
      <c r="H103" s="59"/>
      <c r="I103" s="59"/>
      <c r="J103" s="59"/>
      <c r="K103" s="59"/>
      <c r="L103" s="59"/>
      <c r="M103" s="59"/>
      <c r="N103" s="59"/>
      <c r="Q103" s="58" t="s">
        <v>127</v>
      </c>
      <c r="R103" s="59"/>
      <c r="S103" s="59"/>
      <c r="T103" s="59"/>
      <c r="U103" s="59"/>
      <c r="V103" s="59"/>
      <c r="W103" s="59"/>
      <c r="X103" s="59"/>
      <c r="Y103" s="59"/>
      <c r="Z103" s="59"/>
      <c r="AA103" s="59"/>
    </row>
    <row r="104" spans="1:27" ht="13.5" customHeight="1" x14ac:dyDescent="0.2">
      <c r="C104" s="237" t="s">
        <v>294</v>
      </c>
      <c r="D104" s="237"/>
      <c r="E104" s="237"/>
      <c r="F104" s="237"/>
      <c r="G104" s="237"/>
      <c r="H104" s="237"/>
      <c r="I104" s="237"/>
      <c r="J104" s="237"/>
      <c r="K104" s="237"/>
      <c r="L104" s="237"/>
      <c r="M104" s="237"/>
      <c r="N104" s="237"/>
      <c r="Q104" s="237" t="s">
        <v>295</v>
      </c>
      <c r="R104" s="237"/>
      <c r="S104" s="237"/>
      <c r="T104" s="237"/>
      <c r="U104" s="237"/>
      <c r="V104" s="237"/>
      <c r="W104" s="237"/>
      <c r="X104" s="237"/>
      <c r="Y104" s="237"/>
      <c r="Z104" s="237"/>
      <c r="AA104" s="237"/>
    </row>
    <row r="105" spans="1:27" ht="13.5" customHeight="1" x14ac:dyDescent="0.2">
      <c r="C105" s="237"/>
      <c r="D105" s="237"/>
      <c r="E105" s="237"/>
      <c r="F105" s="237"/>
      <c r="G105" s="237"/>
      <c r="H105" s="237"/>
      <c r="I105" s="237"/>
      <c r="J105" s="237"/>
      <c r="K105" s="237"/>
      <c r="L105" s="237"/>
      <c r="M105" s="237"/>
      <c r="N105" s="237"/>
      <c r="Q105" s="237"/>
      <c r="R105" s="237"/>
      <c r="S105" s="237"/>
      <c r="T105" s="237"/>
      <c r="U105" s="237"/>
      <c r="V105" s="237"/>
      <c r="W105" s="237"/>
      <c r="X105" s="237"/>
      <c r="Y105" s="237"/>
      <c r="Z105" s="237"/>
      <c r="AA105" s="237"/>
    </row>
    <row r="106" spans="1:27" ht="13.5" customHeight="1" x14ac:dyDescent="0.2">
      <c r="D106" s="44"/>
      <c r="E106" s="44"/>
      <c r="F106" s="44"/>
      <c r="G106" s="44"/>
      <c r="H106" s="44"/>
      <c r="I106" s="44"/>
      <c r="J106" s="44"/>
      <c r="K106" s="44"/>
      <c r="L106" s="44"/>
      <c r="M106" s="44"/>
      <c r="N106" s="44"/>
      <c r="Q106" s="66" t="s">
        <v>293</v>
      </c>
      <c r="R106" s="45"/>
      <c r="S106" s="45"/>
      <c r="T106" s="45"/>
      <c r="U106" s="45"/>
      <c r="V106" s="45"/>
      <c r="W106" s="45"/>
      <c r="X106" s="45"/>
      <c r="Y106" s="45"/>
      <c r="Z106" s="45"/>
      <c r="AA106" s="45"/>
    </row>
    <row r="107" spans="1:27" ht="7" customHeight="1" x14ac:dyDescent="0.2">
      <c r="G107" s="42"/>
    </row>
    <row r="108" spans="1:27" x14ac:dyDescent="0.2">
      <c r="C108" s="192" t="s">
        <v>87</v>
      </c>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45"/>
    </row>
    <row r="109" spans="1:27" ht="9" customHeight="1" x14ac:dyDescent="0.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45"/>
    </row>
    <row r="110" spans="1:27" ht="2.25" customHeight="1" x14ac:dyDescent="0.2">
      <c r="Y110" s="46"/>
      <c r="Z110" s="46"/>
      <c r="AA110" s="46"/>
    </row>
    <row r="111" spans="1:27" x14ac:dyDescent="0.2">
      <c r="A111" s="1" t="s">
        <v>235</v>
      </c>
      <c r="G111" s="42"/>
      <c r="Y111" s="191" t="s">
        <v>111</v>
      </c>
      <c r="Z111" s="191"/>
      <c r="AA111" s="191"/>
    </row>
    <row r="112" spans="1:27" ht="13.5" customHeight="1" x14ac:dyDescent="0.2">
      <c r="B112" s="1" t="s">
        <v>306</v>
      </c>
      <c r="G112" s="42"/>
      <c r="Y112" s="183"/>
      <c r="Z112" s="183"/>
      <c r="AA112" s="183"/>
    </row>
    <row r="113" spans="2:30" x14ac:dyDescent="0.2">
      <c r="B113" s="130" t="s">
        <v>307</v>
      </c>
      <c r="G113" s="42"/>
      <c r="Y113" s="189" t="str">
        <f>IF(AND(Y77&gt;=15,B116="✔",B118="✔",B120="✔",B122="✔"),10,IF(AND(Y77&gt;=15,B116="✔",B118="✔",B124="✔"),10,IF(AND(B118="✔",B126="✔",B116=""),10,"")))</f>
        <v/>
      </c>
      <c r="Z113" s="190"/>
      <c r="AA113" s="35" t="s">
        <v>0</v>
      </c>
      <c r="AB113" s="4" t="str">
        <f>Y113</f>
        <v/>
      </c>
    </row>
    <row r="114" spans="2:30" x14ac:dyDescent="0.2">
      <c r="B114" s="130" t="s">
        <v>308</v>
      </c>
      <c r="G114" s="42"/>
      <c r="X114" s="41"/>
      <c r="Y114" s="131"/>
      <c r="Z114" s="131"/>
      <c r="AA114" s="132"/>
    </row>
    <row r="115" spans="2:30" x14ac:dyDescent="0.2">
      <c r="B115" s="130" t="s">
        <v>309</v>
      </c>
      <c r="G115" s="42"/>
      <c r="X115" s="41"/>
      <c r="Y115" s="131"/>
      <c r="Z115" s="131"/>
      <c r="AA115" s="132"/>
    </row>
    <row r="116" spans="2:30" x14ac:dyDescent="0.2">
      <c r="B116" s="80"/>
      <c r="C116" s="1" t="s">
        <v>296</v>
      </c>
      <c r="G116" s="42"/>
      <c r="AD116" s="4" t="s">
        <v>86</v>
      </c>
    </row>
    <row r="117" spans="2:30" ht="2.5" customHeight="1" x14ac:dyDescent="0.2">
      <c r="G117" s="42"/>
    </row>
    <row r="118" spans="2:30" x14ac:dyDescent="0.2">
      <c r="B118" s="80"/>
      <c r="C118" s="1" t="s">
        <v>100</v>
      </c>
      <c r="G118" s="42"/>
    </row>
    <row r="119" spans="2:30" x14ac:dyDescent="0.2">
      <c r="B119" s="82"/>
      <c r="C119" s="47" t="s">
        <v>224</v>
      </c>
      <c r="G119" s="42"/>
    </row>
    <row r="120" spans="2:30" x14ac:dyDescent="0.2">
      <c r="B120" s="80"/>
      <c r="C120" s="42" t="s">
        <v>96</v>
      </c>
      <c r="G120" s="42"/>
    </row>
    <row r="121" spans="2:30" x14ac:dyDescent="0.2">
      <c r="C121" s="47" t="s">
        <v>161</v>
      </c>
      <c r="G121" s="42"/>
    </row>
    <row r="122" spans="2:30" x14ac:dyDescent="0.2">
      <c r="B122" s="80"/>
      <c r="C122" s="42" t="s">
        <v>99</v>
      </c>
      <c r="G122" s="42"/>
    </row>
    <row r="123" spans="2:30" ht="3.5" customHeight="1" x14ac:dyDescent="0.2">
      <c r="G123" s="42"/>
    </row>
    <row r="124" spans="2:30" x14ac:dyDescent="0.2">
      <c r="B124" s="80"/>
      <c r="C124" s="1" t="s">
        <v>98</v>
      </c>
      <c r="G124" s="42"/>
    </row>
    <row r="125" spans="2:30" ht="5.25" customHeight="1" x14ac:dyDescent="0.2">
      <c r="G125" s="42"/>
    </row>
    <row r="126" spans="2:30" x14ac:dyDescent="0.2">
      <c r="B126" s="80"/>
      <c r="C126" s="1" t="s">
        <v>305</v>
      </c>
      <c r="G126" s="42"/>
    </row>
    <row r="127" spans="2:30" ht="3.75" customHeight="1" x14ac:dyDescent="0.2">
      <c r="G127" s="42"/>
    </row>
    <row r="128" spans="2:30" ht="3" customHeight="1" x14ac:dyDescent="0.2">
      <c r="G128" s="42"/>
    </row>
    <row r="129" spans="1:30" ht="15" customHeight="1" x14ac:dyDescent="0.2">
      <c r="B129" s="233" t="s">
        <v>177</v>
      </c>
      <c r="C129" s="233"/>
      <c r="D129" s="233"/>
      <c r="E129" s="233"/>
      <c r="F129" s="233"/>
      <c r="G129" s="233"/>
      <c r="H129" s="232" t="s">
        <v>181</v>
      </c>
      <c r="I129" s="232"/>
      <c r="J129" s="232"/>
      <c r="K129" s="232"/>
      <c r="L129" s="232"/>
      <c r="M129" s="232"/>
      <c r="N129" s="232"/>
      <c r="O129" s="231"/>
      <c r="P129" s="231"/>
      <c r="Q129" s="231"/>
      <c r="R129" s="231"/>
      <c r="S129" s="231"/>
      <c r="T129" s="231"/>
      <c r="U129" s="231"/>
      <c r="V129" s="231"/>
      <c r="W129" s="231"/>
      <c r="X129" s="231"/>
      <c r="Y129" s="231"/>
      <c r="Z129" s="231"/>
      <c r="AB129" s="5" t="str">
        <f>IF(AND(O129="",Y113=10),"→申請者の申請時住所の小学校区を記載してください。","")</f>
        <v/>
      </c>
    </row>
    <row r="130" spans="1:30" ht="15" customHeight="1" x14ac:dyDescent="0.2">
      <c r="B130" s="233"/>
      <c r="C130" s="233"/>
      <c r="D130" s="233"/>
      <c r="E130" s="233"/>
      <c r="F130" s="233"/>
      <c r="G130" s="233"/>
      <c r="H130" s="232" t="s">
        <v>178</v>
      </c>
      <c r="I130" s="232"/>
      <c r="J130" s="232"/>
      <c r="K130" s="232"/>
      <c r="L130" s="232"/>
      <c r="M130" s="232"/>
      <c r="N130" s="232"/>
      <c r="O130" s="231"/>
      <c r="P130" s="231"/>
      <c r="Q130" s="231"/>
      <c r="R130" s="231"/>
      <c r="S130" s="231"/>
      <c r="T130" s="231"/>
      <c r="U130" s="231"/>
      <c r="V130" s="231"/>
      <c r="W130" s="231"/>
      <c r="X130" s="231"/>
      <c r="Y130" s="231"/>
      <c r="Z130" s="231"/>
      <c r="AB130" s="5" t="str">
        <f>IF(AND(O130="",Y113=10),"→申請者の住宅建設地の小学校区を記載してください。","")</f>
        <v/>
      </c>
    </row>
    <row r="131" spans="1:30" ht="15" customHeight="1" x14ac:dyDescent="0.2">
      <c r="A131" s="105"/>
      <c r="B131" s="234" t="s">
        <v>299</v>
      </c>
      <c r="C131" s="234"/>
      <c r="D131" s="234"/>
      <c r="E131" s="234"/>
      <c r="F131" s="234"/>
      <c r="G131" s="234"/>
      <c r="H131" s="232" t="s">
        <v>179</v>
      </c>
      <c r="I131" s="232"/>
      <c r="J131" s="232"/>
      <c r="K131" s="232"/>
      <c r="L131" s="232"/>
      <c r="M131" s="232"/>
      <c r="N131" s="232"/>
      <c r="O131" s="231"/>
      <c r="P131" s="231"/>
      <c r="Q131" s="231"/>
      <c r="R131" s="231"/>
      <c r="S131" s="231"/>
      <c r="T131" s="231"/>
      <c r="U131" s="231"/>
      <c r="V131" s="231"/>
      <c r="W131" s="231"/>
      <c r="X131" s="231"/>
      <c r="Y131" s="231"/>
      <c r="Z131" s="231"/>
      <c r="AB131" s="5" t="str">
        <f>IF(AND(O131="",Y113=10),"→同居、近居対象の親族世帯の住所を記載してください。","")</f>
        <v/>
      </c>
    </row>
    <row r="132" spans="1:30" ht="15" customHeight="1" x14ac:dyDescent="0.2">
      <c r="A132" s="105"/>
      <c r="B132" s="235"/>
      <c r="C132" s="235"/>
      <c r="D132" s="235"/>
      <c r="E132" s="235"/>
      <c r="F132" s="235"/>
      <c r="G132" s="235"/>
      <c r="H132" s="232" t="s">
        <v>180</v>
      </c>
      <c r="I132" s="232"/>
      <c r="J132" s="232"/>
      <c r="K132" s="232"/>
      <c r="L132" s="232"/>
      <c r="M132" s="232"/>
      <c r="N132" s="232"/>
      <c r="O132" s="231"/>
      <c r="P132" s="231"/>
      <c r="Q132" s="231"/>
      <c r="R132" s="231"/>
      <c r="S132" s="231"/>
      <c r="T132" s="231"/>
      <c r="U132" s="231"/>
      <c r="V132" s="231"/>
      <c r="W132" s="231"/>
      <c r="X132" s="231"/>
      <c r="Y132" s="231"/>
      <c r="Z132" s="231"/>
      <c r="AB132" s="5" t="str">
        <f>IF(AND(O132="",Y113=10),"→同居、近居対象の親族世帯の小学校区を記載してください。","")</f>
        <v/>
      </c>
    </row>
    <row r="133" spans="1:30" ht="15" customHeight="1" x14ac:dyDescent="0.2">
      <c r="A133" s="105"/>
      <c r="B133" s="236"/>
      <c r="C133" s="236"/>
      <c r="D133" s="236"/>
      <c r="E133" s="236"/>
      <c r="F133" s="236"/>
      <c r="G133" s="236"/>
      <c r="H133" s="232" t="s">
        <v>300</v>
      </c>
      <c r="I133" s="232"/>
      <c r="J133" s="232"/>
      <c r="K133" s="232"/>
      <c r="L133" s="232"/>
      <c r="M133" s="232"/>
      <c r="N133" s="232"/>
      <c r="O133" s="231"/>
      <c r="P133" s="231"/>
      <c r="Q133" s="231"/>
      <c r="R133" s="231"/>
      <c r="S133" s="231"/>
      <c r="T133" s="231"/>
      <c r="U133" s="231"/>
      <c r="V133" s="231"/>
      <c r="W133" s="231"/>
      <c r="X133" s="231"/>
      <c r="Y133" s="231"/>
      <c r="Z133" s="231"/>
      <c r="AA133" s="104"/>
      <c r="AB133" s="5"/>
    </row>
    <row r="134" spans="1:30" ht="12.75" customHeight="1" x14ac:dyDescent="0.2">
      <c r="C134" s="60" t="s">
        <v>127</v>
      </c>
      <c r="G134" s="42"/>
    </row>
    <row r="135" spans="1:30" x14ac:dyDescent="0.2">
      <c r="C135" s="61" t="s">
        <v>102</v>
      </c>
      <c r="D135" s="43"/>
      <c r="E135" s="43"/>
      <c r="F135" s="43"/>
      <c r="G135" s="43"/>
      <c r="H135" s="43"/>
      <c r="I135" s="43"/>
      <c r="J135" s="43"/>
      <c r="K135" s="43"/>
      <c r="L135" s="43"/>
      <c r="M135" s="43"/>
      <c r="N135" s="43"/>
    </row>
    <row r="136" spans="1:30" ht="13.5" customHeight="1" x14ac:dyDescent="0.2">
      <c r="C136" s="61" t="s">
        <v>297</v>
      </c>
      <c r="D136" s="45"/>
      <c r="E136" s="45"/>
      <c r="F136" s="45"/>
      <c r="G136" s="45"/>
      <c r="H136" s="45"/>
      <c r="I136" s="45"/>
      <c r="J136" s="45"/>
      <c r="K136" s="45"/>
      <c r="L136" s="45"/>
      <c r="M136" s="45"/>
      <c r="N136" s="45"/>
      <c r="O136" s="42"/>
      <c r="P136" s="42"/>
      <c r="Q136" s="42"/>
      <c r="R136" s="42"/>
      <c r="S136" s="42"/>
      <c r="T136" s="42"/>
      <c r="U136" s="42"/>
      <c r="V136" s="42"/>
    </row>
    <row r="137" spans="1:30" x14ac:dyDescent="0.2">
      <c r="C137" s="42"/>
      <c r="G137" s="42"/>
      <c r="AA137" s="40" t="s">
        <v>81</v>
      </c>
    </row>
    <row r="138" spans="1:30" x14ac:dyDescent="0.2">
      <c r="A138" s="1" t="s">
        <v>236</v>
      </c>
      <c r="Y138" s="182" t="s">
        <v>111</v>
      </c>
      <c r="Z138" s="182"/>
      <c r="AA138" s="182"/>
    </row>
    <row r="139" spans="1:30" ht="12.75" customHeight="1" x14ac:dyDescent="0.2">
      <c r="B139" s="137" t="s">
        <v>199</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268"/>
      <c r="Y139" s="182"/>
      <c r="Z139" s="182"/>
      <c r="AA139" s="182"/>
    </row>
    <row r="140" spans="1:30" x14ac:dyDescent="0.2">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268"/>
      <c r="Y140" s="189" t="str">
        <f>IF(AND(Y77&lt;&gt;"",Y77&gt;=15,B144="✔",I34&lt;&gt;"その他",SUM(F149,F154,F161,F169,F177,F187,F194)&gt;=4),20,"")</f>
        <v/>
      </c>
      <c r="Z140" s="190"/>
      <c r="AA140" s="35" t="s">
        <v>0</v>
      </c>
      <c r="AB140" s="4" t="str">
        <f>Y140</f>
        <v/>
      </c>
    </row>
    <row r="141" spans="1:30" x14ac:dyDescent="0.2">
      <c r="B141" s="48"/>
      <c r="C141" s="270" t="s">
        <v>213</v>
      </c>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row>
    <row r="142" spans="1:30" ht="13.5" customHeight="1" x14ac:dyDescent="0.2">
      <c r="B142" s="48"/>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row>
    <row r="143" spans="1:30" ht="7" customHeight="1" x14ac:dyDescent="0.2">
      <c r="G143" s="42"/>
    </row>
    <row r="144" spans="1:30" x14ac:dyDescent="0.2">
      <c r="B144" s="80"/>
      <c r="C144" s="1" t="s">
        <v>21</v>
      </c>
      <c r="H144" s="1" t="s">
        <v>228</v>
      </c>
      <c r="AD144" s="4" t="s">
        <v>86</v>
      </c>
    </row>
    <row r="145" spans="2:29" x14ac:dyDescent="0.2">
      <c r="B145" s="28" t="str">
        <f>IF(AND(I34="その他",B144="✔"),"工法が異なります","")</f>
        <v/>
      </c>
      <c r="H145" s="1" t="s">
        <v>226</v>
      </c>
    </row>
    <row r="146" spans="2:29" ht="7" customHeight="1" x14ac:dyDescent="0.2">
      <c r="G146" s="42"/>
    </row>
    <row r="147" spans="2:29" ht="13.5" customHeight="1" x14ac:dyDescent="0.2">
      <c r="B147" s="80"/>
      <c r="C147" s="1" t="s">
        <v>64</v>
      </c>
      <c r="H147" s="137" t="s">
        <v>206</v>
      </c>
      <c r="I147" s="137"/>
      <c r="J147" s="137"/>
      <c r="K147" s="137"/>
      <c r="L147" s="137"/>
      <c r="M147" s="137"/>
      <c r="N147" s="137"/>
      <c r="O147" s="137"/>
      <c r="P147" s="137"/>
      <c r="Q147" s="137"/>
      <c r="R147" s="137"/>
      <c r="S147" s="137"/>
      <c r="T147" s="137"/>
      <c r="U147" s="137"/>
      <c r="V147" s="137"/>
      <c r="W147" s="137"/>
      <c r="X147" s="137"/>
      <c r="Y147" s="137"/>
      <c r="Z147" s="137"/>
      <c r="AA147" s="137"/>
      <c r="AC147" s="4">
        <f>IF(AND(B61="",B65="✔",B147="✔"),4,0)</f>
        <v>0</v>
      </c>
    </row>
    <row r="148" spans="2:29" x14ac:dyDescent="0.2">
      <c r="C148" s="1" t="s">
        <v>107</v>
      </c>
      <c r="H148" s="137"/>
      <c r="I148" s="137"/>
      <c r="J148" s="137"/>
      <c r="K148" s="137"/>
      <c r="L148" s="137"/>
      <c r="M148" s="137"/>
      <c r="N148" s="137"/>
      <c r="O148" s="137"/>
      <c r="P148" s="137"/>
      <c r="Q148" s="137"/>
      <c r="R148" s="137"/>
      <c r="S148" s="137"/>
      <c r="T148" s="137"/>
      <c r="U148" s="137"/>
      <c r="V148" s="137"/>
      <c r="W148" s="137"/>
      <c r="X148" s="137"/>
      <c r="Y148" s="137"/>
      <c r="Z148" s="137"/>
      <c r="AA148" s="137"/>
    </row>
    <row r="149" spans="2:29" x14ac:dyDescent="0.2">
      <c r="C149" s="265" t="s">
        <v>185</v>
      </c>
      <c r="D149" s="266"/>
      <c r="E149" s="267"/>
      <c r="F149" s="67" t="str">
        <f>IF(AC147=0,"",AC147)</f>
        <v/>
      </c>
      <c r="H149" s="137"/>
      <c r="I149" s="137"/>
      <c r="J149" s="137"/>
      <c r="K149" s="137"/>
      <c r="L149" s="137"/>
      <c r="M149" s="137"/>
      <c r="N149" s="137"/>
      <c r="O149" s="137"/>
      <c r="P149" s="137"/>
      <c r="Q149" s="137"/>
      <c r="R149" s="137"/>
      <c r="S149" s="137"/>
      <c r="T149" s="137"/>
      <c r="U149" s="137"/>
      <c r="V149" s="137"/>
      <c r="W149" s="137"/>
      <c r="X149" s="137"/>
      <c r="Y149" s="137"/>
      <c r="Z149" s="137"/>
      <c r="AA149" s="137"/>
    </row>
    <row r="150" spans="2:29" x14ac:dyDescent="0.2">
      <c r="C150" s="281" t="s">
        <v>211</v>
      </c>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row>
    <row r="151" spans="2:29" x14ac:dyDescent="0.2">
      <c r="H151" s="48"/>
      <c r="I151" s="48"/>
      <c r="J151" s="48"/>
      <c r="K151" s="48"/>
      <c r="L151" s="48"/>
      <c r="M151" s="48"/>
      <c r="N151" s="48"/>
      <c r="O151" s="48"/>
      <c r="P151" s="48"/>
      <c r="Q151" s="48"/>
      <c r="R151" s="48"/>
      <c r="S151" s="48"/>
      <c r="T151" s="48"/>
      <c r="U151" s="48"/>
      <c r="V151" s="48"/>
      <c r="W151" s="48"/>
      <c r="X151" s="48"/>
      <c r="Y151" s="48"/>
      <c r="Z151" s="48"/>
      <c r="AA151" s="48"/>
    </row>
    <row r="152" spans="2:29" x14ac:dyDescent="0.2">
      <c r="B152" s="80"/>
      <c r="C152" s="1" t="s">
        <v>65</v>
      </c>
      <c r="H152" s="1" t="s">
        <v>208</v>
      </c>
      <c r="AC152" s="4">
        <f>IF(AND(B152="✔",N156&gt;=40,OR(N155="ささら子下見板",N155="押縁下見板",N155="南京下見板")),2,0)</f>
        <v>0</v>
      </c>
    </row>
    <row r="153" spans="2:29" x14ac:dyDescent="0.2">
      <c r="C153" s="49" t="s">
        <v>108</v>
      </c>
      <c r="H153" s="269" t="s">
        <v>68</v>
      </c>
      <c r="I153" s="269"/>
      <c r="J153" s="269"/>
      <c r="K153" s="269"/>
      <c r="L153" s="269"/>
      <c r="M153" s="269"/>
      <c r="N153" s="269"/>
      <c r="O153" s="269"/>
      <c r="P153" s="269" t="s">
        <v>62</v>
      </c>
      <c r="Q153" s="269"/>
      <c r="R153" s="269"/>
      <c r="S153" s="269"/>
      <c r="T153" s="269"/>
      <c r="U153" s="269"/>
      <c r="V153" s="269"/>
      <c r="W153" s="269"/>
      <c r="X153" s="269"/>
      <c r="Y153" s="269"/>
      <c r="Z153" s="269"/>
      <c r="AA153" s="269"/>
    </row>
    <row r="154" spans="2:29" x14ac:dyDescent="0.2">
      <c r="C154" s="150" t="s">
        <v>185</v>
      </c>
      <c r="D154" s="151"/>
      <c r="E154" s="152"/>
      <c r="F154" s="67" t="str">
        <f>IF(AC152=0,"",AC152)</f>
        <v/>
      </c>
      <c r="H154" s="269" t="s">
        <v>69</v>
      </c>
      <c r="I154" s="269"/>
      <c r="J154" s="269"/>
      <c r="K154" s="269"/>
      <c r="L154" s="269"/>
      <c r="M154" s="269"/>
      <c r="N154" s="269"/>
      <c r="O154" s="269"/>
      <c r="P154" s="269" t="s">
        <v>63</v>
      </c>
      <c r="Q154" s="269"/>
      <c r="R154" s="269"/>
      <c r="S154" s="269"/>
      <c r="T154" s="269"/>
      <c r="U154" s="269"/>
      <c r="V154" s="269"/>
      <c r="W154" s="269"/>
      <c r="X154" s="269"/>
      <c r="Y154" s="269"/>
      <c r="Z154" s="269"/>
      <c r="AA154" s="269"/>
    </row>
    <row r="155" spans="2:29" x14ac:dyDescent="0.2">
      <c r="H155" s="1" t="s">
        <v>121</v>
      </c>
      <c r="N155" s="165"/>
      <c r="O155" s="166"/>
      <c r="P155" s="166"/>
      <c r="Q155" s="166"/>
      <c r="R155" s="166"/>
      <c r="S155" s="167"/>
      <c r="AB155" s="5" t="str">
        <f>IF(AND(B152="✔",N155=""),"←リストから選択してください（ささら子下見板、押縁下見板、南京下見板）","")</f>
        <v/>
      </c>
    </row>
    <row r="156" spans="2:29" x14ac:dyDescent="0.2">
      <c r="H156" s="16" t="s">
        <v>122</v>
      </c>
      <c r="N156" s="284"/>
      <c r="O156" s="244"/>
      <c r="P156" s="285"/>
      <c r="Q156" s="1" t="s">
        <v>106</v>
      </c>
      <c r="AB156" s="5" t="str">
        <f>IF(AND(B152="✔",N156=""),"←施工面積を入力してください。","")</f>
        <v/>
      </c>
    </row>
    <row r="157" spans="2:29" x14ac:dyDescent="0.2">
      <c r="C157" s="283" t="s">
        <v>212</v>
      </c>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row>
    <row r="159" spans="2:29" x14ac:dyDescent="0.2">
      <c r="B159" s="80"/>
      <c r="C159" s="1" t="s">
        <v>66</v>
      </c>
      <c r="H159" s="72" t="s">
        <v>220</v>
      </c>
      <c r="AC159" s="4">
        <f>IF(AND(B159="✔",N163&gt;=40),2,IF(AND(B159="✔",N163+N164&gt;=40),1,0))</f>
        <v>0</v>
      </c>
    </row>
    <row r="160" spans="2:29" x14ac:dyDescent="0.2">
      <c r="C160" s="1" t="s">
        <v>182</v>
      </c>
      <c r="H160" s="72" t="s">
        <v>221</v>
      </c>
    </row>
    <row r="161" spans="2:29" x14ac:dyDescent="0.2">
      <c r="C161" s="265" t="s">
        <v>185</v>
      </c>
      <c r="D161" s="266"/>
      <c r="E161" s="267"/>
      <c r="F161" s="67" t="str">
        <f>IF(AC159=0,"",AC159)</f>
        <v/>
      </c>
      <c r="H161" s="1" t="s">
        <v>222</v>
      </c>
    </row>
    <row r="162" spans="2:29" x14ac:dyDescent="0.2">
      <c r="H162" s="29" t="s">
        <v>214</v>
      </c>
      <c r="AB162" s="73" t="str">
        <f>IF(AND(N163&gt;0,R163=""),"←こて塗り仕上げの材料を選択してください。",IF(AND(R163="その他のこて塗り",V163=""),"←こて塗りの材料を記載してください。",""))</f>
        <v/>
      </c>
    </row>
    <row r="163" spans="2:29" x14ac:dyDescent="0.2">
      <c r="B163" s="16" t="s">
        <v>210</v>
      </c>
      <c r="N163" s="165"/>
      <c r="O163" s="166"/>
      <c r="P163" s="167"/>
      <c r="Q163" s="1" t="s">
        <v>184</v>
      </c>
      <c r="R163" s="289"/>
      <c r="S163" s="289"/>
      <c r="T163" s="289"/>
      <c r="U163" s="289"/>
      <c r="V163" s="271"/>
      <c r="W163" s="272"/>
      <c r="X163" s="272"/>
      <c r="Y163" s="272"/>
      <c r="Z163" s="272"/>
      <c r="AB163" s="5" t="str">
        <f>IF(AND(B159="✔",N163=""),"←こて塗り（珪藻土及びじゅらく以外）の面積を入力してください。","")</f>
        <v/>
      </c>
      <c r="AC163" s="73"/>
    </row>
    <row r="164" spans="2:29" x14ac:dyDescent="0.2">
      <c r="B164" s="16" t="s">
        <v>183</v>
      </c>
      <c r="N164" s="165"/>
      <c r="O164" s="166"/>
      <c r="P164" s="167"/>
      <c r="Q164" s="1" t="s">
        <v>184</v>
      </c>
      <c r="R164" s="289"/>
      <c r="S164" s="289"/>
      <c r="T164" s="289"/>
      <c r="U164" s="289"/>
      <c r="V164" s="271"/>
      <c r="W164" s="272"/>
      <c r="X164" s="272"/>
      <c r="Y164" s="272"/>
      <c r="Z164" s="272"/>
      <c r="AB164" s="5" t="str">
        <f>IF(AND(B159="✔",N164=""),"←こて塗り（珪藻土及びじゅらく）の面積を入力してください。","")</f>
        <v/>
      </c>
      <c r="AC164" s="73"/>
    </row>
    <row r="165" spans="2:29" x14ac:dyDescent="0.2">
      <c r="C165" s="57" t="s">
        <v>215</v>
      </c>
      <c r="AB165" s="73" t="str">
        <f>IF(AND(N164&gt;0,R164=""),"こて塗り仕上げの材料を選択してください。",IF(AND(R164="その他のこて塗り",V164=""),"←こて塗りの材料を記載してください。",""))</f>
        <v/>
      </c>
    </row>
    <row r="167" spans="2:29" x14ac:dyDescent="0.2">
      <c r="B167" s="80"/>
      <c r="C167" s="1" t="s">
        <v>103</v>
      </c>
      <c r="H167" s="137" t="s">
        <v>104</v>
      </c>
      <c r="I167" s="137"/>
      <c r="J167" s="137"/>
      <c r="K167" s="137"/>
      <c r="L167" s="137"/>
      <c r="M167" s="137"/>
      <c r="N167" s="137"/>
      <c r="O167" s="137"/>
      <c r="P167" s="137"/>
      <c r="Q167" s="137"/>
      <c r="R167" s="137"/>
      <c r="S167" s="137"/>
      <c r="T167" s="137"/>
      <c r="U167" s="137"/>
      <c r="V167" s="137"/>
      <c r="W167" s="137"/>
      <c r="X167" s="137"/>
      <c r="Y167" s="137"/>
      <c r="Z167" s="137"/>
      <c r="AA167" s="137"/>
      <c r="AC167" s="4">
        <f>IF(AND(B167="✔",OR(N170="和瓦",N170="平板瓦",N170="S瓦")),2,0)</f>
        <v>0</v>
      </c>
    </row>
    <row r="168" spans="2:29" x14ac:dyDescent="0.2">
      <c r="C168" s="49" t="s">
        <v>108</v>
      </c>
      <c r="H168" s="137"/>
      <c r="I168" s="137"/>
      <c r="J168" s="137"/>
      <c r="K168" s="137"/>
      <c r="L168" s="137"/>
      <c r="M168" s="137"/>
      <c r="N168" s="137"/>
      <c r="O168" s="137"/>
      <c r="P168" s="137"/>
      <c r="Q168" s="137"/>
      <c r="R168" s="137"/>
      <c r="S168" s="137"/>
      <c r="T168" s="137"/>
      <c r="U168" s="137"/>
      <c r="V168" s="137"/>
      <c r="W168" s="137"/>
      <c r="X168" s="137"/>
      <c r="Y168" s="137"/>
      <c r="Z168" s="137"/>
      <c r="AA168" s="137"/>
    </row>
    <row r="169" spans="2:29" x14ac:dyDescent="0.2">
      <c r="C169" s="265" t="s">
        <v>185</v>
      </c>
      <c r="D169" s="266"/>
      <c r="E169" s="267"/>
      <c r="F169" s="67" t="str">
        <f>IF(AC167=0,"",AC167)</f>
        <v/>
      </c>
      <c r="H169" s="28" t="s">
        <v>110</v>
      </c>
      <c r="I169" s="48"/>
      <c r="J169" s="48"/>
      <c r="K169" s="48"/>
      <c r="L169" s="48"/>
      <c r="M169" s="48"/>
      <c r="N169" s="48"/>
      <c r="O169" s="48"/>
      <c r="P169" s="48"/>
      <c r="Q169" s="48"/>
      <c r="R169" s="48"/>
      <c r="S169" s="48"/>
      <c r="T169" s="48"/>
      <c r="U169" s="48"/>
      <c r="V169" s="48"/>
      <c r="W169" s="48"/>
      <c r="X169" s="48"/>
      <c r="Y169" s="48"/>
      <c r="Z169" s="48"/>
      <c r="AA169" s="48"/>
    </row>
    <row r="170" spans="2:29" x14ac:dyDescent="0.2">
      <c r="I170" s="282" t="s">
        <v>115</v>
      </c>
      <c r="J170" s="282"/>
      <c r="K170" s="282"/>
      <c r="L170" s="282"/>
      <c r="M170" s="48"/>
      <c r="N170" s="286"/>
      <c r="O170" s="287"/>
      <c r="P170" s="288"/>
      <c r="Q170" s="48"/>
      <c r="R170" s="48"/>
      <c r="S170" s="48"/>
      <c r="T170" s="48"/>
      <c r="U170" s="48"/>
      <c r="V170" s="48"/>
      <c r="W170" s="48"/>
      <c r="X170" s="48"/>
      <c r="Y170" s="48"/>
      <c r="Z170" s="48"/>
      <c r="AA170" s="48"/>
      <c r="AB170" s="5" t="str">
        <f>IF(AND(B167="✔",N170=""),"←リストから選択してください（和瓦、平板瓦、S瓦）","")</f>
        <v/>
      </c>
    </row>
    <row r="171" spans="2:29" x14ac:dyDescent="0.2">
      <c r="C171" s="270" t="s">
        <v>216</v>
      </c>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row>
    <row r="172" spans="2:29" x14ac:dyDescent="0.2">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row>
    <row r="173" spans="2:29" x14ac:dyDescent="0.2">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row>
    <row r="175" spans="2:29" x14ac:dyDescent="0.2">
      <c r="B175" s="80"/>
      <c r="C175" s="1" t="s">
        <v>67</v>
      </c>
      <c r="H175" s="137" t="s">
        <v>209</v>
      </c>
      <c r="I175" s="137"/>
      <c r="J175" s="137"/>
      <c r="K175" s="137"/>
      <c r="L175" s="137"/>
      <c r="M175" s="137"/>
      <c r="N175" s="137"/>
      <c r="O175" s="137"/>
      <c r="P175" s="137"/>
      <c r="Q175" s="137"/>
      <c r="R175" s="137"/>
      <c r="S175" s="137"/>
      <c r="T175" s="137"/>
      <c r="U175" s="137"/>
      <c r="V175" s="137"/>
      <c r="W175" s="137"/>
      <c r="X175" s="137"/>
      <c r="Y175" s="137"/>
      <c r="Z175" s="137"/>
      <c r="AA175" s="137"/>
      <c r="AC175" s="4">
        <f>IF(AND(B175="✔",N180&gt;=10),2,IF(AND(B175="✔",N180&gt;=5),1,0))</f>
        <v>0</v>
      </c>
    </row>
    <row r="176" spans="2:29" x14ac:dyDescent="0.2">
      <c r="C176" s="1" t="s">
        <v>109</v>
      </c>
      <c r="H176" s="137"/>
      <c r="I176" s="137"/>
      <c r="J176" s="137"/>
      <c r="K176" s="137"/>
      <c r="L176" s="137"/>
      <c r="M176" s="137"/>
      <c r="N176" s="137"/>
      <c r="O176" s="137"/>
      <c r="P176" s="137"/>
      <c r="Q176" s="137"/>
      <c r="R176" s="137"/>
      <c r="S176" s="137"/>
      <c r="T176" s="137"/>
      <c r="U176" s="137"/>
      <c r="V176" s="137"/>
      <c r="W176" s="137"/>
      <c r="X176" s="137"/>
      <c r="Y176" s="137"/>
      <c r="Z176" s="137"/>
      <c r="AA176" s="137"/>
    </row>
    <row r="177" spans="2:29" x14ac:dyDescent="0.2">
      <c r="C177" s="265" t="s">
        <v>185</v>
      </c>
      <c r="D177" s="266"/>
      <c r="E177" s="267"/>
      <c r="F177" s="67" t="str">
        <f>IF(AC175=0,"",AC175)</f>
        <v/>
      </c>
      <c r="H177" s="137"/>
      <c r="I177" s="137"/>
      <c r="J177" s="137"/>
      <c r="K177" s="137"/>
      <c r="L177" s="137"/>
      <c r="M177" s="137"/>
      <c r="N177" s="137"/>
      <c r="O177" s="137"/>
      <c r="P177" s="137"/>
      <c r="Q177" s="137"/>
      <c r="R177" s="137"/>
      <c r="S177" s="137"/>
      <c r="T177" s="137"/>
      <c r="U177" s="137"/>
      <c r="V177" s="137"/>
      <c r="W177" s="137"/>
      <c r="X177" s="137"/>
      <c r="Y177" s="137"/>
      <c r="Z177" s="137"/>
      <c r="AA177" s="137"/>
    </row>
    <row r="178" spans="2:29" ht="13.5" customHeight="1" x14ac:dyDescent="0.2">
      <c r="H178" s="269" t="s">
        <v>71</v>
      </c>
      <c r="I178" s="269"/>
      <c r="J178" s="269"/>
      <c r="K178" s="269"/>
      <c r="L178" s="269"/>
      <c r="M178" s="269"/>
      <c r="N178" s="269"/>
      <c r="O178" s="269"/>
      <c r="P178" s="264" t="s">
        <v>73</v>
      </c>
      <c r="Q178" s="264"/>
      <c r="R178" s="264"/>
      <c r="S178" s="264"/>
      <c r="T178" s="264"/>
      <c r="U178" s="264"/>
      <c r="V178" s="264"/>
      <c r="W178" s="264"/>
      <c r="X178" s="264"/>
      <c r="Y178" s="264"/>
      <c r="Z178" s="264"/>
      <c r="AA178" s="264"/>
    </row>
    <row r="179" spans="2:29" x14ac:dyDescent="0.2">
      <c r="H179" s="269" t="s">
        <v>72</v>
      </c>
      <c r="I179" s="269"/>
      <c r="J179" s="269"/>
      <c r="K179" s="269"/>
      <c r="L179" s="269"/>
      <c r="M179" s="269"/>
      <c r="N179" s="269"/>
      <c r="O179" s="269"/>
      <c r="P179" s="269" t="s">
        <v>74</v>
      </c>
      <c r="Q179" s="269"/>
      <c r="R179" s="269"/>
      <c r="S179" s="269"/>
      <c r="T179" s="269"/>
      <c r="U179" s="269"/>
      <c r="V179" s="269"/>
      <c r="W179" s="269"/>
      <c r="X179" s="269"/>
      <c r="Y179" s="269"/>
      <c r="Z179" s="269"/>
      <c r="AA179" s="269"/>
    </row>
    <row r="180" spans="2:29" x14ac:dyDescent="0.2">
      <c r="G180" s="1" t="s">
        <v>116</v>
      </c>
      <c r="N180" s="165"/>
      <c r="O180" s="166"/>
      <c r="P180" s="167"/>
      <c r="Q180" s="1" t="s">
        <v>105</v>
      </c>
      <c r="AB180" s="5" t="str">
        <f>IF(AND(B175="✔",N180=""),"←見付面積を入力してください。","")</f>
        <v/>
      </c>
    </row>
    <row r="181" spans="2:29" x14ac:dyDescent="0.2">
      <c r="C181" s="270" t="s">
        <v>217</v>
      </c>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row>
    <row r="182" spans="2:29" x14ac:dyDescent="0.2">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row>
    <row r="183" spans="2:29" x14ac:dyDescent="0.2">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row>
    <row r="184" spans="2:29" x14ac:dyDescent="0.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row>
    <row r="185" spans="2:29" x14ac:dyDescent="0.2">
      <c r="B185" s="80"/>
      <c r="C185" s="1" t="s">
        <v>117</v>
      </c>
      <c r="H185" s="137" t="s">
        <v>207</v>
      </c>
      <c r="I185" s="137"/>
      <c r="J185" s="137"/>
      <c r="K185" s="137"/>
      <c r="L185" s="137"/>
      <c r="M185" s="137"/>
      <c r="N185" s="137"/>
      <c r="O185" s="137"/>
      <c r="P185" s="137"/>
      <c r="Q185" s="137"/>
      <c r="R185" s="137"/>
      <c r="S185" s="137"/>
      <c r="T185" s="137"/>
      <c r="U185" s="137"/>
      <c r="V185" s="137"/>
      <c r="W185" s="137"/>
      <c r="X185" s="137"/>
      <c r="Y185" s="137"/>
      <c r="Z185" s="137"/>
      <c r="AA185" s="137"/>
      <c r="AC185" s="4">
        <f>IF(AND(B185="✔",N187&gt;=6),1,0)</f>
        <v>0</v>
      </c>
    </row>
    <row r="186" spans="2:29" x14ac:dyDescent="0.2">
      <c r="C186" s="1" t="s">
        <v>118</v>
      </c>
      <c r="H186" s="137"/>
      <c r="I186" s="137"/>
      <c r="J186" s="137"/>
      <c r="K186" s="137"/>
      <c r="L186" s="137"/>
      <c r="M186" s="137"/>
      <c r="N186" s="137"/>
      <c r="O186" s="137"/>
      <c r="P186" s="137"/>
      <c r="Q186" s="137"/>
      <c r="R186" s="137"/>
      <c r="S186" s="137"/>
      <c r="T186" s="137"/>
      <c r="U186" s="137"/>
      <c r="V186" s="137"/>
      <c r="W186" s="137"/>
      <c r="X186" s="137"/>
      <c r="Y186" s="137"/>
      <c r="Z186" s="137"/>
      <c r="AA186" s="137"/>
    </row>
    <row r="187" spans="2:29" x14ac:dyDescent="0.2">
      <c r="C187" s="265" t="s">
        <v>185</v>
      </c>
      <c r="D187" s="266"/>
      <c r="E187" s="267"/>
      <c r="F187" s="67" t="str">
        <f>IF(AC185=0,"",AC185)</f>
        <v/>
      </c>
      <c r="I187" s="1" t="s">
        <v>119</v>
      </c>
      <c r="N187" s="165"/>
      <c r="O187" s="166"/>
      <c r="P187" s="167"/>
      <c r="Q187" s="1" t="s">
        <v>120</v>
      </c>
      <c r="AB187" s="5" t="str">
        <f>IF(AND(B185="✔",N187=""),"←畳の数量を入力してください。","")</f>
        <v/>
      </c>
    </row>
    <row r="188" spans="2:29" x14ac:dyDescent="0.2">
      <c r="C188" s="270" t="s">
        <v>218</v>
      </c>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row>
    <row r="189" spans="2:29" x14ac:dyDescent="0.2">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row>
    <row r="190" spans="2:29" x14ac:dyDescent="0.2">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row>
    <row r="191" spans="2:29" ht="6" customHeight="1" x14ac:dyDescent="0.2"/>
    <row r="192" spans="2:29" ht="13.5" customHeight="1" x14ac:dyDescent="0.2">
      <c r="B192" s="80"/>
      <c r="C192" s="144" t="s">
        <v>204</v>
      </c>
      <c r="D192" s="280"/>
      <c r="E192" s="280"/>
      <c r="F192" s="280"/>
      <c r="G192" s="280"/>
      <c r="H192" s="290" t="s">
        <v>232</v>
      </c>
      <c r="I192" s="290"/>
      <c r="J192" s="290"/>
      <c r="K192" s="290"/>
      <c r="L192" s="290"/>
      <c r="M192" s="290"/>
      <c r="N192" s="290"/>
      <c r="O192" s="290"/>
      <c r="P192" s="290"/>
      <c r="Q192" s="290"/>
      <c r="R192" s="290"/>
      <c r="S192" s="290"/>
      <c r="T192" s="290"/>
      <c r="U192" s="290"/>
      <c r="V192" s="290"/>
      <c r="W192" s="290"/>
      <c r="X192" s="290"/>
      <c r="Y192" s="290"/>
      <c r="Z192" s="290"/>
      <c r="AA192" s="290"/>
      <c r="AC192" s="4">
        <f>IF(AND(B192="✔",N198&gt;=20),2,IF(AND(B192="✔",N198&gt;=10),1,0))</f>
        <v>0</v>
      </c>
    </row>
    <row r="193" spans="1:28" ht="13.5" customHeight="1" x14ac:dyDescent="0.2">
      <c r="C193" s="1" t="s">
        <v>109</v>
      </c>
      <c r="D193" s="42"/>
      <c r="E193" s="42"/>
      <c r="F193" s="42"/>
      <c r="G193" s="42"/>
      <c r="H193" s="290"/>
      <c r="I193" s="290"/>
      <c r="J193" s="290"/>
      <c r="K193" s="290"/>
      <c r="L193" s="290"/>
      <c r="M193" s="290"/>
      <c r="N193" s="290"/>
      <c r="O193" s="290"/>
      <c r="P193" s="290"/>
      <c r="Q193" s="290"/>
      <c r="R193" s="290"/>
      <c r="S193" s="290"/>
      <c r="T193" s="290"/>
      <c r="U193" s="290"/>
      <c r="V193" s="290"/>
      <c r="W193" s="290"/>
      <c r="X193" s="290"/>
      <c r="Y193" s="290"/>
      <c r="Z193" s="290"/>
      <c r="AA193" s="290"/>
    </row>
    <row r="194" spans="1:28" x14ac:dyDescent="0.2">
      <c r="C194" s="265" t="s">
        <v>185</v>
      </c>
      <c r="D194" s="266"/>
      <c r="E194" s="267"/>
      <c r="F194" s="67" t="str">
        <f>IF(AC192=0,"",AC192)</f>
        <v/>
      </c>
      <c r="H194" s="290"/>
      <c r="I194" s="290"/>
      <c r="J194" s="290"/>
      <c r="K194" s="290"/>
      <c r="L194" s="290"/>
      <c r="M194" s="290"/>
      <c r="N194" s="290"/>
      <c r="O194" s="290"/>
      <c r="P194" s="290"/>
      <c r="Q194" s="290"/>
      <c r="R194" s="290"/>
      <c r="S194" s="290"/>
      <c r="T194" s="290"/>
      <c r="U194" s="290"/>
      <c r="V194" s="290"/>
      <c r="W194" s="290"/>
      <c r="X194" s="290"/>
      <c r="Y194" s="290"/>
      <c r="Z194" s="290"/>
      <c r="AA194" s="290"/>
    </row>
    <row r="195" spans="1:28" x14ac:dyDescent="0.2">
      <c r="D195" s="48"/>
      <c r="E195" s="48"/>
      <c r="F195" s="48"/>
      <c r="H195" s="290"/>
      <c r="I195" s="290"/>
      <c r="J195" s="290"/>
      <c r="K195" s="290"/>
      <c r="L195" s="290"/>
      <c r="M195" s="290"/>
      <c r="N195" s="290"/>
      <c r="O195" s="290"/>
      <c r="P195" s="290"/>
      <c r="Q195" s="290"/>
      <c r="R195" s="290"/>
      <c r="S195" s="290"/>
      <c r="T195" s="290"/>
      <c r="U195" s="290"/>
      <c r="V195" s="290"/>
      <c r="W195" s="290"/>
      <c r="X195" s="290"/>
      <c r="Y195" s="290"/>
      <c r="Z195" s="290"/>
      <c r="AA195" s="290"/>
    </row>
    <row r="196" spans="1:28" ht="13.5" customHeight="1" x14ac:dyDescent="0.2">
      <c r="H196" s="290"/>
      <c r="I196" s="290"/>
      <c r="J196" s="290"/>
      <c r="K196" s="290"/>
      <c r="L196" s="290"/>
      <c r="M196" s="290"/>
      <c r="N196" s="290"/>
      <c r="O196" s="290"/>
      <c r="P196" s="290"/>
      <c r="Q196" s="290"/>
      <c r="R196" s="290"/>
      <c r="S196" s="290"/>
      <c r="T196" s="290"/>
      <c r="U196" s="290"/>
      <c r="V196" s="290"/>
      <c r="W196" s="290"/>
      <c r="X196" s="290"/>
      <c r="Y196" s="290"/>
      <c r="Z196" s="290"/>
      <c r="AA196" s="290"/>
    </row>
    <row r="197" spans="1:28" x14ac:dyDescent="0.2">
      <c r="C197" s="137" t="s">
        <v>203</v>
      </c>
      <c r="D197" s="137"/>
      <c r="E197" s="137"/>
      <c r="F197" s="137"/>
      <c r="G197" s="137"/>
      <c r="H197" s="137"/>
      <c r="I197" s="137"/>
      <c r="J197" s="137"/>
      <c r="K197" s="137"/>
      <c r="L197" s="137"/>
      <c r="M197" s="10"/>
      <c r="N197" s="10"/>
      <c r="O197" s="10"/>
      <c r="P197" s="10"/>
      <c r="Q197" s="10"/>
      <c r="R197" s="10"/>
      <c r="S197" s="10"/>
      <c r="T197" s="10"/>
      <c r="U197" s="10"/>
      <c r="V197" s="10"/>
      <c r="W197" s="10"/>
      <c r="X197" s="10"/>
      <c r="Y197" s="10"/>
      <c r="Z197" s="10"/>
      <c r="AA197" s="10"/>
    </row>
    <row r="198" spans="1:28" x14ac:dyDescent="0.2">
      <c r="C198" s="137"/>
      <c r="D198" s="137"/>
      <c r="E198" s="137"/>
      <c r="F198" s="137"/>
      <c r="G198" s="137"/>
      <c r="H198" s="137"/>
      <c r="I198" s="137"/>
      <c r="J198" s="137"/>
      <c r="K198" s="137"/>
      <c r="L198" s="137"/>
      <c r="N198" s="165"/>
      <c r="O198" s="166"/>
      <c r="P198" s="167"/>
      <c r="Q198" s="1" t="s">
        <v>105</v>
      </c>
      <c r="AB198" s="5" t="str">
        <f>IF(AND(B192="✔",N198=""),"←小屋組又は床組みの県産材構造現し見上げ面積を入力してください。","")</f>
        <v/>
      </c>
    </row>
    <row r="199" spans="1:28" ht="42" customHeight="1" x14ac:dyDescent="0.2">
      <c r="C199" s="270" t="s">
        <v>231</v>
      </c>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row>
    <row r="200" spans="1:28" x14ac:dyDescent="0.2">
      <c r="B200" s="196" t="s">
        <v>186</v>
      </c>
      <c r="C200" s="196"/>
      <c r="D200" s="196"/>
      <c r="E200" s="196"/>
      <c r="F200" s="68" t="str">
        <f>IF(SUM(F149,F154,F161,F169,F177,F187,F194)=0,"",SUM(F149,F154,F161,F169,F177,F187,F194))</f>
        <v/>
      </c>
      <c r="G200" s="63"/>
      <c r="H200" s="63"/>
      <c r="I200" s="63"/>
      <c r="J200" s="63"/>
      <c r="K200" s="63"/>
      <c r="L200" s="63"/>
      <c r="M200" s="63"/>
      <c r="N200" s="63"/>
      <c r="O200" s="63"/>
      <c r="P200" s="63"/>
      <c r="Q200" s="63"/>
      <c r="R200" s="63"/>
      <c r="S200" s="63"/>
      <c r="T200" s="63"/>
      <c r="U200" s="63"/>
      <c r="V200" s="63"/>
      <c r="W200" s="63"/>
      <c r="X200" s="63"/>
      <c r="Y200" s="63"/>
      <c r="Z200" s="63"/>
      <c r="AA200" s="63"/>
    </row>
    <row r="201" spans="1:28" x14ac:dyDescent="0.2">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40" t="s">
        <v>81</v>
      </c>
    </row>
    <row r="202" spans="1:28" x14ac:dyDescent="0.2">
      <c r="G202" s="42"/>
      <c r="K202" s="276" t="str">
        <f>IF(Y77="","",MIN(SUM(Y77,Y95,Y113,Y140),100))</f>
        <v/>
      </c>
      <c r="L202" s="276"/>
      <c r="M202" s="276"/>
    </row>
    <row r="203" spans="1:28" x14ac:dyDescent="0.2">
      <c r="C203" s="1" t="s">
        <v>233</v>
      </c>
      <c r="G203" s="42"/>
      <c r="K203" s="276"/>
      <c r="L203" s="276"/>
      <c r="M203" s="276"/>
      <c r="N203" s="1" t="s">
        <v>75</v>
      </c>
      <c r="AB203" s="79">
        <f>SUM(AB140,AB113,AB95,AB76,AB74,AB73,AB72)</f>
        <v>0</v>
      </c>
    </row>
    <row r="204" spans="1:28" x14ac:dyDescent="0.2">
      <c r="G204" s="42"/>
    </row>
    <row r="205" spans="1:28" x14ac:dyDescent="0.2">
      <c r="A205" s="16" t="s">
        <v>88</v>
      </c>
      <c r="G205" s="42"/>
    </row>
    <row r="207" spans="1:28" x14ac:dyDescent="0.2">
      <c r="C207" s="1" t="s">
        <v>78</v>
      </c>
    </row>
    <row r="208" spans="1:28" x14ac:dyDescent="0.2">
      <c r="C208" s="28" t="s">
        <v>123</v>
      </c>
    </row>
    <row r="210" spans="3:55" x14ac:dyDescent="0.2">
      <c r="C210" s="1" t="s">
        <v>239</v>
      </c>
    </row>
    <row r="211" spans="3:55" x14ac:dyDescent="0.2">
      <c r="C211" s="1" t="s">
        <v>240</v>
      </c>
    </row>
    <row r="212" spans="3:55" x14ac:dyDescent="0.2">
      <c r="C212" s="1" t="str">
        <f>IF(I54="有","他に利用する補助金一覧表（様式第６号別紙）","")</f>
        <v/>
      </c>
    </row>
    <row r="213" spans="3:55" x14ac:dyDescent="0.2">
      <c r="C213" s="1" t="str">
        <f>IF(I44="要","検査済み証の写し",IF(I44="不要","建築工事届の写し",""))</f>
        <v/>
      </c>
    </row>
    <row r="214" spans="3:55" x14ac:dyDescent="0.2">
      <c r="C214" s="1" t="str">
        <f>IF(B56="✔","変更後の各階平面図、配置図","")</f>
        <v/>
      </c>
    </row>
    <row r="215" spans="3:55" x14ac:dyDescent="0.2">
      <c r="C215" s="1" t="s">
        <v>241</v>
      </c>
    </row>
    <row r="216" spans="3:55" x14ac:dyDescent="0.2">
      <c r="C216" s="1" t="s">
        <v>242</v>
      </c>
    </row>
    <row r="217" spans="3:55" ht="26.25" customHeight="1" x14ac:dyDescent="0.2">
      <c r="C217" s="277" t="str">
        <f>IF(B61="","","県内プレカット加工証明書（様式第９号）の原本若しくはその写し又はプレカット工場が記載された県産材の産地証明書写し")</f>
        <v/>
      </c>
      <c r="D217" s="277"/>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row>
    <row r="218" spans="3:55" x14ac:dyDescent="0.2">
      <c r="C218" s="277" t="str">
        <f>IF(Y73="","","日本農林規格県産材（ＪＡＳ格付及び含水率20%以下）であることを証明する書類等")</f>
        <v/>
      </c>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row>
    <row r="219" spans="3:55" x14ac:dyDescent="0.2">
      <c r="C219" s="277" t="str">
        <f>IF(Y74="","","機械等級区分構造材一覧表（様式第８号）又は同等の内容を記載した証明書類若しくはその写し")</f>
        <v/>
      </c>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row>
    <row r="220" spans="3:55" x14ac:dyDescent="0.2">
      <c r="C220" s="277" t="str">
        <f>IF(Q75="","","県産CLT材であることを証明する書類（納品書等）")</f>
        <v/>
      </c>
      <c r="D220" s="277"/>
      <c r="E220" s="277"/>
      <c r="F220" s="277"/>
      <c r="G220" s="277"/>
      <c r="H220" s="277"/>
      <c r="I220" s="277"/>
      <c r="J220" s="277"/>
      <c r="K220" s="277"/>
      <c r="L220" s="277"/>
      <c r="M220" s="277"/>
      <c r="N220" s="277"/>
      <c r="O220" s="277"/>
      <c r="P220" s="277"/>
      <c r="Q220" s="277"/>
      <c r="R220" s="277"/>
      <c r="S220" s="277"/>
      <c r="T220" s="277"/>
      <c r="U220" s="277"/>
      <c r="V220" s="277"/>
      <c r="W220" s="277"/>
      <c r="X220" s="277"/>
      <c r="Y220" s="277"/>
      <c r="Z220" s="277"/>
      <c r="AA220" s="277"/>
    </row>
    <row r="221" spans="3:55" ht="44.25" customHeight="1" x14ac:dyDescent="0.2">
      <c r="C221" s="137" t="str">
        <f>IF(Q76="","","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86" t="s">
        <v>246</v>
      </c>
      <c r="AC221" s="86"/>
      <c r="AD221" s="86"/>
      <c r="AE221" s="86"/>
      <c r="AF221" s="86"/>
      <c r="AG221" s="86"/>
      <c r="AH221" s="86"/>
      <c r="AI221" s="86"/>
      <c r="AJ221" s="86"/>
      <c r="AK221" s="86"/>
    </row>
    <row r="222" spans="3:55" ht="13.5" customHeight="1" x14ac:dyDescent="0.2">
      <c r="C222" s="137" t="str">
        <f>IF(AC222="はい","登録された建売住宅（登録住宅）を購入した場合は、その購入契約書の写し","")</f>
        <v/>
      </c>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86" t="s">
        <v>244</v>
      </c>
      <c r="AC222" s="87" t="s">
        <v>245</v>
      </c>
      <c r="AE222" s="86" t="s">
        <v>247</v>
      </c>
      <c r="AT222" s="1"/>
      <c r="AU222" s="1"/>
      <c r="AV222" s="1"/>
      <c r="AW222" s="1"/>
      <c r="AX222" s="1"/>
      <c r="AY222" s="1"/>
      <c r="AZ222" s="1"/>
      <c r="BA222" s="1"/>
      <c r="BB222" s="1"/>
      <c r="BC222" s="1"/>
    </row>
    <row r="223" spans="3:55" ht="13.5" customHeight="1" x14ac:dyDescent="0.2">
      <c r="C223" s="137" t="str">
        <f>IF(Y95="","","補助対象住宅に転居後の世帯全員の住民票")</f>
        <v/>
      </c>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row>
    <row r="224" spans="3:55" ht="13.5" customHeight="1" x14ac:dyDescent="0.2">
      <c r="C224" s="137" t="str">
        <f>IF(AND(B97="",P97="✔"),"申請者の戸籍抄本、申請者の戸籍謄本","")</f>
        <v/>
      </c>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85" t="str">
        <f>IF(C224="","","申請者の戸籍抄本、申請者の戸籍謄本、誓約書のうちいづれか一つを添付してください。")</f>
        <v/>
      </c>
      <c r="AI224" s="1"/>
    </row>
    <row r="225" spans="1:55" ht="13.5" customHeight="1" x14ac:dyDescent="0.2">
      <c r="C225" s="137" t="str">
        <f>IF(Y113="","","補助対象住宅に転居後の同居又は近居の対象となる直系親族世帯全員の住民票")</f>
        <v/>
      </c>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row>
    <row r="226" spans="1:55" ht="30.75" customHeight="1" x14ac:dyDescent="0.2">
      <c r="C226" s="137" t="str">
        <f>IF(B116="✔","同居又は近居する直系親族世帯全員の住民票の写し　（補助対象住宅に転居後のもの）
同居又は近居する直系親族と姓が異なる場合は、申請者の戸籍謄本等直系親族とわかる書類","")</f>
        <v/>
      </c>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row>
    <row r="227" spans="1:55" ht="13.5" customHeight="1" x14ac:dyDescent="0.2">
      <c r="C227" s="137" t="str">
        <f>IF(AND(B144="✔",OR(B152="✔",B159="✔",B167="✔",B175="✔",B185="✔",B192="✔")),"各伝統技能（手刻み加工を除く。）の施工面積及び施工箇所を図示した立面図、展開図等の図面","")</f>
        <v/>
      </c>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row>
    <row r="228" spans="1:55" ht="13.5" customHeight="1" x14ac:dyDescent="0.2">
      <c r="C228" s="137" t="str">
        <f>IF(B147="","","手刻み加工で仕口、継手等を加工している写真（建築主名を記載した工事看板を写し込んだもの）")</f>
        <v/>
      </c>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row>
    <row r="229" spans="1:55" ht="13.5" customHeight="1" x14ac:dyDescent="0.2">
      <c r="C229" s="137" t="str">
        <f>IF(B152="","","下見板張り施工後の写真（建築主名を記載した工事看板を写し込んだもの）")</f>
        <v/>
      </c>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row>
    <row r="230" spans="1:55" ht="13.5" customHeight="1" x14ac:dyDescent="0.2">
      <c r="C230" s="137" t="str">
        <f>IF(B159="","","左官仕上げのこて塗りが確認できる施工状況写真（建築主名を記載した工事看板を写し込んだもの）")</f>
        <v/>
      </c>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85" t="str">
        <f>IF(C230="","","こて塗りで実際施工中の写真を添付してください（建築主名記載の工事看板入り）。")</f>
        <v/>
      </c>
    </row>
    <row r="231" spans="1:55" ht="30.75" customHeight="1" x14ac:dyDescent="0.2">
      <c r="C231" s="137" t="str">
        <f>IF(B167="","","瓦の留め付け状況及び棟の補強金物及び屋根下地への緊結状況がわかる写真（建築主名を記載した工事看板を写し込んだもの）")</f>
        <v/>
      </c>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85" t="str">
        <f>IF(C231="","","瓦の施工作業中の写真を添付してください（建築主名記載の工事看板入り）。")</f>
        <v/>
      </c>
    </row>
    <row r="232" spans="1:55" ht="39" customHeight="1" x14ac:dyDescent="0.2">
      <c r="C232" s="137" t="str">
        <f>IF(B175="","","木製建具の種類及び見付面積が確認できる資料、設置完了後の写真（建具の種類ごとに建築主名、建具業者名及び建具の名称を記載した工事看板を写し込んだもの）及び当該木製建具に係る納品書の写し")</f>
        <v/>
      </c>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row>
    <row r="233" spans="1:55" ht="26.25" customHeight="1" x14ac:dyDescent="0.2">
      <c r="C233" s="137" t="str">
        <f>IF(B185="","","畳の設置完了後の写真（建築主名、畳業者名を記載した看板を写し込んだもの）及び当該畳に係る納品書の写し")</f>
        <v/>
      </c>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row>
    <row r="234" spans="1:55" ht="42.75" customHeight="1" x14ac:dyDescent="0.2">
      <c r="C234" s="137" t="str">
        <f>IF(B192="","","構造材現し　施工後の写真（建築主名を記載した工事看板を写し込んだもの）並びに全てのはり、桁及び母屋を記載した伏図（小屋伏図及び床伏図をいう。）に、居室で構造材現しになっているものを色分けした資料")</f>
        <v/>
      </c>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row>
    <row r="235" spans="1:55" ht="13.5" customHeight="1" x14ac:dyDescent="0.2">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row>
    <row r="236" spans="1:55" ht="13.5" customHeight="1" x14ac:dyDescent="0.2">
      <c r="C236" s="278" t="str">
        <f>IF(AC237="はい","現地審査に関する通知書（竣工時）の写し","")</f>
        <v/>
      </c>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c r="AA236" s="278"/>
      <c r="AB236" s="86" t="s">
        <v>243</v>
      </c>
      <c r="AC236" s="86"/>
      <c r="AD236" s="86"/>
      <c r="AE236" s="86"/>
      <c r="AF236" s="86"/>
      <c r="AG236" s="86"/>
      <c r="AH236" s="86"/>
      <c r="AI236" s="86"/>
      <c r="AJ236" s="86"/>
      <c r="AK236" s="86"/>
    </row>
    <row r="237" spans="1:55" ht="13.5" customHeight="1" x14ac:dyDescent="0.2">
      <c r="AB237" s="86" t="s">
        <v>244</v>
      </c>
      <c r="AC237" s="87" t="s">
        <v>245</v>
      </c>
      <c r="AU237" s="1"/>
      <c r="AV237" s="1"/>
      <c r="AW237" s="1"/>
      <c r="AX237" s="1"/>
      <c r="AY237" s="1"/>
      <c r="AZ237" s="1"/>
      <c r="BA237" s="1"/>
      <c r="BB237" s="1"/>
      <c r="BC237" s="1"/>
    </row>
    <row r="238" spans="1:55" ht="13.5" customHeight="1" x14ac:dyDescent="0.2">
      <c r="W238" s="63"/>
      <c r="X238" s="63"/>
      <c r="Y238" s="63"/>
      <c r="Z238" s="63"/>
      <c r="AA238" s="40" t="s">
        <v>81</v>
      </c>
    </row>
    <row r="239" spans="1:55" x14ac:dyDescent="0.2">
      <c r="A239" s="137" t="s">
        <v>227</v>
      </c>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row>
    <row r="240" spans="1:55" x14ac:dyDescent="0.2">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row>
    <row r="242" spans="1:28" ht="17.25" customHeight="1" x14ac:dyDescent="0.2">
      <c r="J242" s="279" t="s">
        <v>229</v>
      </c>
      <c r="K242" s="231"/>
      <c r="L242" s="231"/>
      <c r="M242" s="231"/>
      <c r="N242" s="231"/>
      <c r="O242" s="231"/>
      <c r="P242" s="231"/>
      <c r="Q242" s="231"/>
      <c r="R242" s="231"/>
      <c r="S242" s="231"/>
      <c r="T242" s="231"/>
      <c r="U242" s="231"/>
      <c r="V242" s="231"/>
      <c r="W242" s="231"/>
      <c r="X242" s="231"/>
      <c r="Y242" s="231"/>
      <c r="Z242" s="231"/>
      <c r="AA242" s="231"/>
      <c r="AB242" s="5" t="str">
        <f>IF(P242="","←工事監理者氏名（工事監理者が不要な場合は工事施工者氏名を選択し、当該内容）を入力してください。","")</f>
        <v>←工事監理者氏名（工事監理者が不要な場合は工事施工者氏名を選択し、当該内容）を入力してください。</v>
      </c>
    </row>
    <row r="243" spans="1:28" ht="17.25" customHeight="1" x14ac:dyDescent="0.2">
      <c r="J243" s="232" t="s">
        <v>187</v>
      </c>
      <c r="K243" s="232"/>
      <c r="L243" s="232"/>
      <c r="M243" s="232"/>
      <c r="N243" s="232"/>
      <c r="O243" s="232"/>
      <c r="P243" s="231"/>
      <c r="Q243" s="231"/>
      <c r="R243" s="231"/>
      <c r="S243" s="231"/>
      <c r="T243" s="231"/>
      <c r="U243" s="231"/>
      <c r="V243" s="231"/>
      <c r="W243" s="231"/>
      <c r="X243" s="231"/>
      <c r="Y243" s="231"/>
      <c r="Z243" s="231"/>
      <c r="AA243" s="231"/>
      <c r="AB243" s="5" t="str">
        <f>IF(P243="","←建築士事務所名を入力してください。","")</f>
        <v>←建築士事務所名を入力してください。</v>
      </c>
    </row>
    <row r="244" spans="1:28" ht="17.25" customHeight="1" x14ac:dyDescent="0.2">
      <c r="J244" s="159" t="s">
        <v>188</v>
      </c>
      <c r="K244" s="160"/>
      <c r="L244" s="160"/>
      <c r="M244" s="160"/>
      <c r="N244" s="160"/>
      <c r="O244" s="161"/>
      <c r="P244" s="150" t="s">
        <v>51</v>
      </c>
      <c r="Q244" s="151"/>
      <c r="R244" s="151"/>
      <c r="S244" s="151"/>
      <c r="T244" s="166"/>
      <c r="U244" s="166"/>
      <c r="V244" s="166"/>
      <c r="W244" s="166"/>
      <c r="X244" s="166"/>
      <c r="Y244" s="166"/>
      <c r="Z244" s="166"/>
      <c r="AA244" s="167"/>
      <c r="AB244" s="5" t="str">
        <f>IF(T244="","←建築士事務所の登録区分を選択（１級、２級、木造）してください。","")</f>
        <v>←建築士事務所の登録区分を選択（１級、２級、木造）してください。</v>
      </c>
    </row>
    <row r="245" spans="1:28" ht="17.25" customHeight="1" x14ac:dyDescent="0.2">
      <c r="J245" s="271"/>
      <c r="K245" s="272"/>
      <c r="L245" s="272"/>
      <c r="M245" s="272"/>
      <c r="N245" s="272"/>
      <c r="O245" s="273"/>
      <c r="P245" s="150" t="s">
        <v>190</v>
      </c>
      <c r="Q245" s="151"/>
      <c r="R245" s="151"/>
      <c r="S245" s="151"/>
      <c r="T245" s="166"/>
      <c r="U245" s="166"/>
      <c r="V245" s="166"/>
      <c r="W245" s="166"/>
      <c r="X245" s="166"/>
      <c r="Y245" s="166"/>
      <c r="Z245" s="151" t="s">
        <v>191</v>
      </c>
      <c r="AA245" s="152"/>
      <c r="AB245" s="5" t="str">
        <f>IF(T245="","←建築士事務所の登録を受けた都道府県名入力してください。","")</f>
        <v>←建築士事務所の登録を受けた都道府県名入力してください。</v>
      </c>
    </row>
    <row r="246" spans="1:28" ht="17.25" customHeight="1" x14ac:dyDescent="0.2">
      <c r="J246" s="162"/>
      <c r="K246" s="163"/>
      <c r="L246" s="163"/>
      <c r="M246" s="163"/>
      <c r="N246" s="163"/>
      <c r="O246" s="164"/>
      <c r="P246" s="150" t="s">
        <v>189</v>
      </c>
      <c r="Q246" s="151"/>
      <c r="R246" s="151"/>
      <c r="S246" s="151"/>
      <c r="T246" s="274"/>
      <c r="U246" s="274"/>
      <c r="V246" s="274"/>
      <c r="W246" s="274"/>
      <c r="X246" s="274"/>
      <c r="Y246" s="274"/>
      <c r="Z246" s="274"/>
      <c r="AA246" s="275"/>
      <c r="AB246" s="5" t="str">
        <f>IF(T246="","←建築士事務所の登録番号を入力してください。","")</f>
        <v>←建築士事務所の登録番号を入力してください。</v>
      </c>
    </row>
    <row r="247" spans="1:28" x14ac:dyDescent="0.2">
      <c r="A247" s="1" t="s">
        <v>219</v>
      </c>
    </row>
    <row r="248" spans="1:28" ht="31.5" customHeight="1" x14ac:dyDescent="0.2">
      <c r="A248" s="137" t="s">
        <v>230</v>
      </c>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row>
  </sheetData>
  <sheetProtection algorithmName="SHA-512" hashValue="99WbfANjxy98EOXOlWkU1CxRXzdZLGSms/55Aq7wIDwUeQddqDxK7lNaUczHdjvRQQhfnyzM8MwWRM8M1jSsbA==" saltValue="lz+Ej1Gxu1QijjY4wZ0Fng==" spinCount="100000" sheet="1" objects="1" scenarios="1"/>
  <mergeCells count="193">
    <mergeCell ref="N170:P170"/>
    <mergeCell ref="R163:U163"/>
    <mergeCell ref="C226:AA226"/>
    <mergeCell ref="H175:AA177"/>
    <mergeCell ref="N180:P180"/>
    <mergeCell ref="H185:AA186"/>
    <mergeCell ref="N187:P187"/>
    <mergeCell ref="C171:AA173"/>
    <mergeCell ref="H178:O178"/>
    <mergeCell ref="P178:AA178"/>
    <mergeCell ref="H179:O179"/>
    <mergeCell ref="P179:AA179"/>
    <mergeCell ref="H192:AA196"/>
    <mergeCell ref="C197:L198"/>
    <mergeCell ref="N198:P198"/>
    <mergeCell ref="R164:U164"/>
    <mergeCell ref="V163:Z163"/>
    <mergeCell ref="V164:Z164"/>
    <mergeCell ref="A248:AA248"/>
    <mergeCell ref="P244:S244"/>
    <mergeCell ref="J242:O242"/>
    <mergeCell ref="P242:AA242"/>
    <mergeCell ref="J243:O243"/>
    <mergeCell ref="P243:AA243"/>
    <mergeCell ref="C192:G192"/>
    <mergeCell ref="C150:AA150"/>
    <mergeCell ref="C154:E154"/>
    <mergeCell ref="C161:E161"/>
    <mergeCell ref="C169:E169"/>
    <mergeCell ref="C177:E177"/>
    <mergeCell ref="C187:E187"/>
    <mergeCell ref="C181:AA183"/>
    <mergeCell ref="C188:AA190"/>
    <mergeCell ref="C199:AA199"/>
    <mergeCell ref="I170:L170"/>
    <mergeCell ref="C157:AA157"/>
    <mergeCell ref="T244:AA244"/>
    <mergeCell ref="N156:P156"/>
    <mergeCell ref="C222:AA222"/>
    <mergeCell ref="C224:AA224"/>
    <mergeCell ref="C223:AA223"/>
    <mergeCell ref="C217:AA217"/>
    <mergeCell ref="J244:O246"/>
    <mergeCell ref="T245:Y245"/>
    <mergeCell ref="Z245:AA245"/>
    <mergeCell ref="P246:S246"/>
    <mergeCell ref="T246:AA246"/>
    <mergeCell ref="P245:S245"/>
    <mergeCell ref="C194:E194"/>
    <mergeCell ref="B200:E200"/>
    <mergeCell ref="A239:AA240"/>
    <mergeCell ref="K202:M203"/>
    <mergeCell ref="C218:AA218"/>
    <mergeCell ref="C219:AA219"/>
    <mergeCell ref="C220:AA220"/>
    <mergeCell ref="C221:AA221"/>
    <mergeCell ref="C236:AA236"/>
    <mergeCell ref="C225:AA225"/>
    <mergeCell ref="C227:AA227"/>
    <mergeCell ref="C228:AA228"/>
    <mergeCell ref="C229:AA229"/>
    <mergeCell ref="C230:AA230"/>
    <mergeCell ref="C234:AA234"/>
    <mergeCell ref="C235:AA235"/>
    <mergeCell ref="C231:AA231"/>
    <mergeCell ref="C232:AA232"/>
    <mergeCell ref="C149:E149"/>
    <mergeCell ref="H167:AA168"/>
    <mergeCell ref="N155:S155"/>
    <mergeCell ref="H147:AA149"/>
    <mergeCell ref="B139:X140"/>
    <mergeCell ref="H153:O153"/>
    <mergeCell ref="H154:O154"/>
    <mergeCell ref="P153:AA153"/>
    <mergeCell ref="P154:AA154"/>
    <mergeCell ref="C141:AA142"/>
    <mergeCell ref="Y138:AA139"/>
    <mergeCell ref="Y140:Z140"/>
    <mergeCell ref="N163:P163"/>
    <mergeCell ref="N164:P164"/>
    <mergeCell ref="C8:F8"/>
    <mergeCell ref="H8:I8"/>
    <mergeCell ref="K8:L8"/>
    <mergeCell ref="N12:Z12"/>
    <mergeCell ref="N13:Z13"/>
    <mergeCell ref="N11:Z11"/>
    <mergeCell ref="O10:Z10"/>
    <mergeCell ref="O29:R29"/>
    <mergeCell ref="W29:X29"/>
    <mergeCell ref="S29:V29"/>
    <mergeCell ref="C20:AA21"/>
    <mergeCell ref="D32:H32"/>
    <mergeCell ref="D34:H34"/>
    <mergeCell ref="D37:H37"/>
    <mergeCell ref="I34:X34"/>
    <mergeCell ref="I37:X37"/>
    <mergeCell ref="D29:H29"/>
    <mergeCell ref="V30:W30"/>
    <mergeCell ref="V31:W31"/>
    <mergeCell ref="R30:U30"/>
    <mergeCell ref="R31:U31"/>
    <mergeCell ref="S35:T35"/>
    <mergeCell ref="S36:T36"/>
    <mergeCell ref="V32:W32"/>
    <mergeCell ref="D35:H36"/>
    <mergeCell ref="L30:L31"/>
    <mergeCell ref="I32:N32"/>
    <mergeCell ref="S32:U32"/>
    <mergeCell ref="V35:W35"/>
    <mergeCell ref="H132:N132"/>
    <mergeCell ref="O132:Z132"/>
    <mergeCell ref="B129:G130"/>
    <mergeCell ref="H129:N129"/>
    <mergeCell ref="O129:Z129"/>
    <mergeCell ref="H130:N130"/>
    <mergeCell ref="B131:G133"/>
    <mergeCell ref="H133:N133"/>
    <mergeCell ref="O133:Z133"/>
    <mergeCell ref="Q72:T72"/>
    <mergeCell ref="Y72:Z72"/>
    <mergeCell ref="D45:N45"/>
    <mergeCell ref="O45:Q45"/>
    <mergeCell ref="S45:T45"/>
    <mergeCell ref="V45:W45"/>
    <mergeCell ref="Q75:T75"/>
    <mergeCell ref="O130:Z130"/>
    <mergeCell ref="H131:N131"/>
    <mergeCell ref="O131:Z131"/>
    <mergeCell ref="Y95:Z95"/>
    <mergeCell ref="C104:N105"/>
    <mergeCell ref="Q104:AA105"/>
    <mergeCell ref="Y93:AA94"/>
    <mergeCell ref="Q101:AA102"/>
    <mergeCell ref="Y76:Z76"/>
    <mergeCell ref="D54:H54"/>
    <mergeCell ref="D71:P71"/>
    <mergeCell ref="N36:Q36"/>
    <mergeCell ref="D39:H39"/>
    <mergeCell ref="I40:X40"/>
    <mergeCell ref="I41:X41"/>
    <mergeCell ref="I39:X39"/>
    <mergeCell ref="D40:H40"/>
    <mergeCell ref="I36:M36"/>
    <mergeCell ref="V36:W36"/>
    <mergeCell ref="Q71:T71"/>
    <mergeCell ref="Q74:T74"/>
    <mergeCell ref="Y74:Z74"/>
    <mergeCell ref="U74:X74"/>
    <mergeCell ref="A5:AA6"/>
    <mergeCell ref="Y113:Z113"/>
    <mergeCell ref="Y111:AA112"/>
    <mergeCell ref="C108:Z109"/>
    <mergeCell ref="Q98:AA99"/>
    <mergeCell ref="C101:N102"/>
    <mergeCell ref="I54:N54"/>
    <mergeCell ref="P54:AA54"/>
    <mergeCell ref="I44:N44"/>
    <mergeCell ref="G74:P74"/>
    <mergeCell ref="Q73:T73"/>
    <mergeCell ref="Q70:T70"/>
    <mergeCell ref="U73:X73"/>
    <mergeCell ref="E72:P72"/>
    <mergeCell ref="F73:P73"/>
    <mergeCell ref="U72:X72"/>
    <mergeCell ref="Y77:Z77"/>
    <mergeCell ref="B66:AA67"/>
    <mergeCell ref="D70:P70"/>
    <mergeCell ref="Y73:Z73"/>
    <mergeCell ref="D44:H44"/>
    <mergeCell ref="C233:AA233"/>
    <mergeCell ref="A3:AA3"/>
    <mergeCell ref="U75:X75"/>
    <mergeCell ref="U76:X76"/>
    <mergeCell ref="Q76:T76"/>
    <mergeCell ref="F75:P75"/>
    <mergeCell ref="F76:P76"/>
    <mergeCell ref="D62:H62"/>
    <mergeCell ref="I62:X62"/>
    <mergeCell ref="I28:X28"/>
    <mergeCell ref="D27:H28"/>
    <mergeCell ref="I27:L27"/>
    <mergeCell ref="M27:X27"/>
    <mergeCell ref="I29:N29"/>
    <mergeCell ref="M30:Q31"/>
    <mergeCell ref="D30:H31"/>
    <mergeCell ref="I30:K31"/>
    <mergeCell ref="D41:H41"/>
    <mergeCell ref="I33:K33"/>
    <mergeCell ref="N35:Q35"/>
    <mergeCell ref="I35:M35"/>
    <mergeCell ref="U70:X71"/>
    <mergeCell ref="A16:AA16"/>
    <mergeCell ref="Y70:AA71"/>
  </mergeCells>
  <phoneticPr fontId="1"/>
  <conditionalFormatting sqref="O10:Z10 N11:Z13 I34:X34 I39:X41 I28:I30 M27">
    <cfRule type="containsBlanks" dxfId="74" priority="153">
      <formula>LEN(TRIM(I10))=0</formula>
    </cfRule>
  </conditionalFormatting>
  <conditionalFormatting sqref="I37:X37">
    <cfRule type="expression" dxfId="73" priority="148">
      <formula>AND($I$34="その他",$I$37="")</formula>
    </cfRule>
  </conditionalFormatting>
  <conditionalFormatting sqref="L33 Q33 V33">
    <cfRule type="containsBlanks" dxfId="72" priority="147">
      <formula>LEN(TRIM(L33))=0</formula>
    </cfRule>
  </conditionalFormatting>
  <conditionalFormatting sqref="V30:W30">
    <cfRule type="expression" dxfId="71" priority="141">
      <formula>AND($I$29="併用住宅",$V$30="")</formula>
    </cfRule>
  </conditionalFormatting>
  <conditionalFormatting sqref="V31:W31">
    <cfRule type="expression" dxfId="70" priority="140">
      <formula>AND($I$29="併用住宅",$V$31="")</formula>
    </cfRule>
  </conditionalFormatting>
  <conditionalFormatting sqref="I54:N54">
    <cfRule type="containsBlanks" dxfId="69" priority="138">
      <formula>LEN(TRIM(I54))=0</formula>
    </cfRule>
  </conditionalFormatting>
  <conditionalFormatting sqref="Q71:Q76">
    <cfRule type="containsBlanks" dxfId="68" priority="136">
      <formula>LEN(TRIM(Q71))=0</formula>
    </cfRule>
  </conditionalFormatting>
  <conditionalFormatting sqref="U73:X76">
    <cfRule type="expression" dxfId="67" priority="129">
      <formula>$I$29="併用住宅"</formula>
    </cfRule>
    <cfRule type="expression" dxfId="66" priority="133">
      <formula>AND($I$29="併用住宅",$U$73="")</formula>
    </cfRule>
  </conditionalFormatting>
  <conditionalFormatting sqref="U70:X71">
    <cfRule type="expression" dxfId="65" priority="132">
      <formula>$I$29="併用住宅"</formula>
    </cfRule>
  </conditionalFormatting>
  <conditionalFormatting sqref="B20">
    <cfRule type="containsBlanks" dxfId="64" priority="180">
      <formula>LEN(TRIM(B20))=0</formula>
    </cfRule>
  </conditionalFormatting>
  <conditionalFormatting sqref="B61">
    <cfRule type="containsBlanks" dxfId="63" priority="187">
      <formula>LEN(TRIM(B61))=0</formula>
    </cfRule>
  </conditionalFormatting>
  <conditionalFormatting sqref="U72:X72">
    <cfRule type="expression" dxfId="62" priority="130">
      <formula>$I$29="併用住宅"</formula>
    </cfRule>
    <cfRule type="expression" dxfId="61" priority="134">
      <formula>AND($I$29="併用住宅",$U$72="")</formula>
    </cfRule>
  </conditionalFormatting>
  <conditionalFormatting sqref="B59">
    <cfRule type="containsBlanks" dxfId="60" priority="186">
      <formula>LEN(TRIM(B59))=0</formula>
    </cfRule>
  </conditionalFormatting>
  <conditionalFormatting sqref="B22">
    <cfRule type="containsBlanks" dxfId="59" priority="181">
      <formula>LEN(TRIM(B22))=0</formula>
    </cfRule>
  </conditionalFormatting>
  <conditionalFormatting sqref="B38">
    <cfRule type="containsBlanks" dxfId="58" priority="182">
      <formula>LEN(TRIM(B38))=0</formula>
    </cfRule>
  </conditionalFormatting>
  <conditionalFormatting sqref="B43">
    <cfRule type="containsBlanks" dxfId="57" priority="183">
      <formula>LEN(TRIM(B43))=0</formula>
    </cfRule>
  </conditionalFormatting>
  <conditionalFormatting sqref="B47">
    <cfRule type="containsBlanks" dxfId="56" priority="184">
      <formula>LEN(TRIM(B47))=0</formula>
    </cfRule>
  </conditionalFormatting>
  <conditionalFormatting sqref="N187:P187">
    <cfRule type="containsBlanks" dxfId="55" priority="174">
      <formula>LEN(TRIM(N187))=0</formula>
    </cfRule>
  </conditionalFormatting>
  <conditionalFormatting sqref="S29">
    <cfRule type="containsBlanks" dxfId="54" priority="77">
      <formula>LEN(TRIM(S29))=0</formula>
    </cfRule>
  </conditionalFormatting>
  <conditionalFormatting sqref="V32">
    <cfRule type="containsBlanks" dxfId="53" priority="72">
      <formula>LEN(TRIM(V32))=0</formula>
    </cfRule>
  </conditionalFormatting>
  <conditionalFormatting sqref="H8">
    <cfRule type="containsBlanks" dxfId="52" priority="69">
      <formula>LEN(TRIM(H8))=0</formula>
    </cfRule>
  </conditionalFormatting>
  <conditionalFormatting sqref="K8">
    <cfRule type="containsBlanks" dxfId="51" priority="68">
      <formula>LEN(TRIM(K8))=0</formula>
    </cfRule>
  </conditionalFormatting>
  <conditionalFormatting sqref="C8:F8">
    <cfRule type="containsBlanks" dxfId="50" priority="67">
      <formula>LEN(TRIM(C8))=0</formula>
    </cfRule>
  </conditionalFormatting>
  <conditionalFormatting sqref="N155:S155">
    <cfRule type="containsBlanks" dxfId="49" priority="166">
      <formula>LEN(TRIM(N155))=0</formula>
    </cfRule>
  </conditionalFormatting>
  <conditionalFormatting sqref="N156:P156">
    <cfRule type="containsBlanks" dxfId="48" priority="167">
      <formula>LEN(TRIM(N156))=0</formula>
    </cfRule>
  </conditionalFormatting>
  <conditionalFormatting sqref="B118">
    <cfRule type="containsBlanks" dxfId="47" priority="158">
      <formula>LEN(TRIM(B118))=0</formula>
    </cfRule>
  </conditionalFormatting>
  <conditionalFormatting sqref="N180:P180">
    <cfRule type="containsBlanks" dxfId="46" priority="173">
      <formula>LEN(TRIM(N180))=0</formula>
    </cfRule>
  </conditionalFormatting>
  <conditionalFormatting sqref="N198:P198">
    <cfRule type="containsBlanks" dxfId="45" priority="176">
      <formula>LEN(TRIM(N198))=0</formula>
    </cfRule>
  </conditionalFormatting>
  <conditionalFormatting sqref="N170:P170">
    <cfRule type="containsBlanks" dxfId="44" priority="172">
      <formula>LEN(TRIM(N170))=0</formula>
    </cfRule>
  </conditionalFormatting>
  <conditionalFormatting sqref="I44:N44">
    <cfRule type="containsBlanks" dxfId="43" priority="59">
      <formula>LEN(TRIM(I44))=0</formula>
    </cfRule>
  </conditionalFormatting>
  <conditionalFormatting sqref="V35 S35">
    <cfRule type="containsBlanks" dxfId="42" priority="56">
      <formula>LEN(TRIM(S35))=0</formula>
    </cfRule>
  </conditionalFormatting>
  <conditionalFormatting sqref="N35:Q35">
    <cfRule type="containsBlanks" dxfId="41" priority="55">
      <formula>LEN(TRIM(N35))=0</formula>
    </cfRule>
  </conditionalFormatting>
  <conditionalFormatting sqref="V36 S36">
    <cfRule type="containsBlanks" dxfId="40" priority="54">
      <formula>LEN(TRIM(S36))=0</formula>
    </cfRule>
  </conditionalFormatting>
  <conditionalFormatting sqref="N36:Q36">
    <cfRule type="containsBlanks" dxfId="39" priority="53">
      <formula>LEN(TRIM(N36))=0</formula>
    </cfRule>
  </conditionalFormatting>
  <conditionalFormatting sqref="O129:Z132">
    <cfRule type="containsBlanks" dxfId="38" priority="52">
      <formula>LEN(TRIM(O129))=0</formula>
    </cfRule>
  </conditionalFormatting>
  <conditionalFormatting sqref="B192">
    <cfRule type="containsBlanks" dxfId="37" priority="169">
      <formula>LEN(TRIM(B192))=0</formula>
    </cfRule>
  </conditionalFormatting>
  <conditionalFormatting sqref="B116">
    <cfRule type="containsBlanks" dxfId="36" priority="157">
      <formula>LEN(TRIM(B116))=0</formula>
    </cfRule>
  </conditionalFormatting>
  <conditionalFormatting sqref="N163:P164">
    <cfRule type="containsBlanks" dxfId="35" priority="168">
      <formula>LEN(TRIM(N163))=0</formula>
    </cfRule>
  </conditionalFormatting>
  <conditionalFormatting sqref="B53">
    <cfRule type="containsBlanks" dxfId="34" priority="185">
      <formula>LEN(TRIM(B53))=0</formula>
    </cfRule>
  </conditionalFormatting>
  <conditionalFormatting sqref="B65">
    <cfRule type="containsBlanks" dxfId="33" priority="179">
      <formula>LEN(TRIM(B65))=0</formula>
    </cfRule>
  </conditionalFormatting>
  <conditionalFormatting sqref="B97">
    <cfRule type="containsBlanks" dxfId="32" priority="155">
      <formula>LEN(TRIM(B97))=0</formula>
    </cfRule>
  </conditionalFormatting>
  <conditionalFormatting sqref="P97">
    <cfRule type="containsBlanks" dxfId="31" priority="156">
      <formula>LEN(TRIM(P97))=0</formula>
    </cfRule>
  </conditionalFormatting>
  <conditionalFormatting sqref="B120">
    <cfRule type="containsBlanks" dxfId="30" priority="159">
      <formula>LEN(TRIM(B120))=0</formula>
    </cfRule>
  </conditionalFormatting>
  <conditionalFormatting sqref="B122">
    <cfRule type="containsBlanks" dxfId="29" priority="160">
      <formula>LEN(TRIM(B122))=0</formula>
    </cfRule>
  </conditionalFormatting>
  <conditionalFormatting sqref="B124">
    <cfRule type="containsBlanks" dxfId="28" priority="161">
      <formula>LEN(TRIM(B124))=0</formula>
    </cfRule>
  </conditionalFormatting>
  <conditionalFormatting sqref="B144">
    <cfRule type="containsBlanks" dxfId="27" priority="162">
      <formula>LEN(TRIM(B144))=0</formula>
    </cfRule>
  </conditionalFormatting>
  <conditionalFormatting sqref="B147">
    <cfRule type="containsBlanks" dxfId="26" priority="163">
      <formula>LEN(TRIM(B147))=0</formula>
    </cfRule>
  </conditionalFormatting>
  <conditionalFormatting sqref="B152">
    <cfRule type="containsBlanks" dxfId="25" priority="164">
      <formula>LEN(TRIM(B152))=0</formula>
    </cfRule>
  </conditionalFormatting>
  <conditionalFormatting sqref="B159">
    <cfRule type="containsBlanks" dxfId="24" priority="165">
      <formula>LEN(TRIM(B159))=0</formula>
    </cfRule>
  </conditionalFormatting>
  <conditionalFormatting sqref="B167">
    <cfRule type="containsBlanks" dxfId="23" priority="171">
      <formula>LEN(TRIM(B167))=0</formula>
    </cfRule>
  </conditionalFormatting>
  <conditionalFormatting sqref="B175">
    <cfRule type="containsBlanks" dxfId="22" priority="177">
      <formula>LEN(TRIM(B175))=0</formula>
    </cfRule>
  </conditionalFormatting>
  <conditionalFormatting sqref="B185">
    <cfRule type="containsBlanks" dxfId="21" priority="175">
      <formula>LEN(TRIM(B185))=0</formula>
    </cfRule>
  </conditionalFormatting>
  <conditionalFormatting sqref="P242:AA243">
    <cfRule type="containsBlanks" dxfId="20" priority="29">
      <formula>LEN(TRIM(P242))=0</formula>
    </cfRule>
  </conditionalFormatting>
  <conditionalFormatting sqref="T244:AA244 T246:AA246 T245 Z245">
    <cfRule type="containsBlanks" dxfId="19" priority="28">
      <formula>LEN(TRIM(T244))=0</formula>
    </cfRule>
  </conditionalFormatting>
  <conditionalFormatting sqref="I62:X62">
    <cfRule type="containsBlanks" dxfId="18" priority="27">
      <formula>LEN(TRIM(I62))=0</formula>
    </cfRule>
  </conditionalFormatting>
  <conditionalFormatting sqref="R163:U164">
    <cfRule type="containsBlanks" dxfId="17" priority="170">
      <formula>LEN(TRIM(R163))=0</formula>
    </cfRule>
  </conditionalFormatting>
  <conditionalFormatting sqref="V163:Z163">
    <cfRule type="expression" dxfId="16" priority="21">
      <formula>AND($R$163="その他のこて塗り",$V$163="")</formula>
    </cfRule>
    <cfRule type="expression" dxfId="15" priority="22">
      <formula>"$R$158=""その他のこて塗り"""</formula>
    </cfRule>
  </conditionalFormatting>
  <conditionalFormatting sqref="V164:Z164">
    <cfRule type="expression" dxfId="14" priority="20">
      <formula>AND($R$164="その他のこて塗り",$V$164="")</formula>
    </cfRule>
  </conditionalFormatting>
  <conditionalFormatting sqref="I32">
    <cfRule type="containsBlanks" dxfId="13" priority="12">
      <formula>LEN(TRIM(I32))=0</formula>
    </cfRule>
  </conditionalFormatting>
  <conditionalFormatting sqref="B56">
    <cfRule type="containsBlanks" dxfId="12" priority="7">
      <formula>LEN(TRIM(B56))=0</formula>
    </cfRule>
  </conditionalFormatting>
  <conditionalFormatting sqref="O45">
    <cfRule type="containsBlanks" dxfId="11" priority="6">
      <formula>LEN(TRIM(O45))=0</formula>
    </cfRule>
  </conditionalFormatting>
  <conditionalFormatting sqref="V45 S45">
    <cfRule type="containsBlanks" dxfId="10" priority="5">
      <formula>LEN(TRIM(S45))=0</formula>
    </cfRule>
  </conditionalFormatting>
  <conditionalFormatting sqref="O133:Z133">
    <cfRule type="containsBlanks" dxfId="9" priority="4">
      <formula>LEN(TRIM(O133))=0</formula>
    </cfRule>
  </conditionalFormatting>
  <conditionalFormatting sqref="B51">
    <cfRule type="containsBlanks" dxfId="8" priority="3">
      <formula>LEN(TRIM(B51))=0</formula>
    </cfRule>
  </conditionalFormatting>
  <conditionalFormatting sqref="B126">
    <cfRule type="containsBlanks" dxfId="7" priority="2">
      <formula>LEN(TRIM(B126))=0</formula>
    </cfRule>
  </conditionalFormatting>
  <conditionalFormatting sqref="B49">
    <cfRule type="containsBlanks" dxfId="6" priority="1">
      <formula>LEN(TRIM(B49))=0</formula>
    </cfRule>
  </conditionalFormatting>
  <dataValidations count="31">
    <dataValidation type="whole" operator="greaterThanOrEqual" allowBlank="1" showInputMessage="1" showErrorMessage="1" error="1か所以上が必須です。" sqref="V33 Q33 L33">
      <formula1>1</formula1>
    </dataValidation>
    <dataValidation type="list" allowBlank="1" showInputMessage="1" showErrorMessage="1" sqref="I54:N54">
      <formula1>"有,無,"</formula1>
    </dataValidation>
    <dataValidation type="list" allowBlank="1" showInputMessage="1" showErrorMessage="1" sqref="I29">
      <formula1>"専用住宅,併用住宅"</formula1>
    </dataValidation>
    <dataValidation type="list" allowBlank="1" showInputMessage="1" showErrorMessage="1" sqref="I34:X34">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71:T71">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72:T72">
      <formula1>10</formula1>
      <formula2>Q71</formula2>
    </dataValidation>
    <dataValidation type="list" allowBlank="1" showInputMessage="1" showErrorMessage="1" sqref="N170:P170">
      <formula1>"和瓦,平板瓦,S瓦,"</formula1>
    </dataValidation>
    <dataValidation type="list" allowBlank="1" showInputMessage="1" showErrorMessage="1" sqref="N155:S155">
      <formula1>"ささら子下見板,押縁下見板,南京下見板,"</formula1>
    </dataValidation>
    <dataValidation type="list" allowBlank="1" showInputMessage="1" showErrorMessage="1" sqref="M27:X27">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5:T45">
      <formula1>"1,2,3,4,5,6,7,8,9,10,11,12,"</formula1>
    </dataValidation>
    <dataValidation type="list" allowBlank="1" showInputMessage="1" showErrorMessage="1" sqref="V32:W32">
      <formula1>"1,2,3,"</formula1>
    </dataValidation>
    <dataValidation type="list" allowBlank="1" showInputMessage="1" showErrorMessage="1" sqref="K8:L8">
      <formula1>"1,2,3,4,5,6,7,8,9,10,11,12,13,14,15,16,17,18,19,20,21,22,23,24,25,26,27,28,29,30,31, "</formula1>
    </dataValidation>
    <dataValidation type="list" allowBlank="1" showInputMessage="1" showErrorMessage="1" sqref="C8:F8 N35:Q36 O45">
      <formula1>"2,3,4,5,6,7,8,9,10,"</formula1>
    </dataValidation>
    <dataValidation type="list" allowBlank="1" showInputMessage="1" showErrorMessage="1" sqref="I44:N44">
      <formula1>"要,不要,"</formula1>
    </dataValidation>
    <dataValidation type="list" allowBlank="1" showInputMessage="1" showErrorMessage="1" sqref="V35:W36 V45:W45">
      <formula1>"1,2,3,4,5,6,7,8,9,10,11,12,13,14,15,16,17,18,19,20,21,22,23,24,25,26,27,28,29,30,31,"</formula1>
    </dataValidation>
    <dataValidation type="list" allowBlank="1" showInputMessage="1" showErrorMessage="1" sqref="B20 B22 B38 B43 B47 B59 B56 B61 B65 B97 P97 B116 B118 B120 B122 B53 B144 B147 B152 B159 B167 B175 B185 B192 B51 B124 B126 B49">
      <formula1>"✔,"</formula1>
    </dataValidation>
    <dataValidation type="list" allowBlank="1" showInputMessage="1" showErrorMessage="1" sqref="T244:AA244">
      <formula1>"一級建築士事務所,二級建築士事務所,木造建築士事務所"</formula1>
    </dataValidation>
    <dataValidation type="list" allowBlank="1" showInputMessage="1" showErrorMessage="1" sqref="J242:O242">
      <formula1>"工事監理者氏名,工事施工者氏名"</formula1>
    </dataValidation>
    <dataValidation type="whole" showInputMessage="1" showErrorMessage="1" errorTitle="エラー" error="県産材の使用材積以下の整数値（小数点以下切捨て）を入力してください。_x000a_" sqref="Q73:T73">
      <formula1>0</formula1>
      <formula2>Q72</formula2>
    </dataValidation>
    <dataValidation type="whole" operator="lessThanOrEqual" allowBlank="1" showInputMessage="1" showErrorMessage="1" error="県産規格材の使用材積以下の整数値（小数点以下切捨て）を入力してください。" sqref="Q74:T74">
      <formula1>Q73</formula1>
    </dataValidation>
    <dataValidation type="whole" allowBlank="1" showInputMessage="1" showErrorMessage="1" error="県産材の使用材積以下の整数値（小数点以下切捨て）を入力してください。_x000a_" sqref="Q75:T75">
      <formula1>0</formula1>
      <formula2>Q72</formula2>
    </dataValidation>
    <dataValidation type="whole" allowBlank="1" showInputMessage="1" showErrorMessage="1" error="整数値（小数点以下切捨て）を入力してください。" sqref="Q76:T76">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72:X72">
      <formula1>10</formula1>
      <formula2>Q72</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73:X73">
      <formula1>0</formula1>
      <formula2>MIN(Q73,U72)</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74:X74">
      <formula1>0</formula1>
      <formula2>MIN(Q74,U73)</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75:X75">
      <formula1>0</formula1>
      <formula2>MIN(Q75,U72)</formula2>
    </dataValidation>
    <dataValidation type="whole" allowBlank="1" showInputMessage="1" showErrorMessage="1" errorTitle="エラー" error="併用住宅全体の県産内外装材、県産木塀の見付面積以下の整数値（小数点以下切捨て）を入力してください。" sqref="U76:X76">
      <formula1>0</formula1>
      <formula2>Q76</formula2>
    </dataValidation>
    <dataValidation type="list" allowBlank="1" showInputMessage="1" showErrorMessage="1" sqref="R163:U163">
      <formula1>"モルタル塗,漆喰塗,土壁塗,そとん壁,その他のこて塗り"</formula1>
    </dataValidation>
    <dataValidation type="list" allowBlank="1" showInputMessage="1" showErrorMessage="1" sqref="R164:U164">
      <formula1>"珪藻土塗,じゅらく塗,その他のこて塗り"</formula1>
    </dataValidation>
    <dataValidation type="list" allowBlank="1" showInputMessage="1" showErrorMessage="1" sqref="AC222 AC237">
      <formula1>"はい,いいえ"</formula1>
    </dataValidation>
    <dataValidation type="list" allowBlank="1" showInputMessage="1" showErrorMessage="1" sqref="O133:Z133">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4" manualBreakCount="4">
    <brk id="68" max="26" man="1"/>
    <brk id="137" max="26" man="1"/>
    <brk id="201" max="26" man="1"/>
    <brk id="238"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16"/>
  <sheetViews>
    <sheetView tabSelected="1" workbookViewId="0">
      <selection activeCell="D12" sqref="D12"/>
    </sheetView>
  </sheetViews>
  <sheetFormatPr defaultColWidth="9" defaultRowHeight="13" x14ac:dyDescent="0.2"/>
  <cols>
    <col min="1" max="1" width="2" style="78" customWidth="1"/>
    <col min="2" max="2" width="18.6328125" style="78" customWidth="1"/>
    <col min="3" max="4" width="15.453125" style="78" customWidth="1"/>
    <col min="5" max="5" width="6.7265625" style="78" customWidth="1"/>
    <col min="6" max="6" width="20.08984375" style="78" customWidth="1"/>
    <col min="7" max="8" width="15.453125" style="78" customWidth="1"/>
    <col min="9" max="9" width="5.36328125" style="78" customWidth="1"/>
    <col min="10" max="10" width="19.7265625" style="78" customWidth="1"/>
    <col min="11" max="11" width="1" style="78" customWidth="1"/>
    <col min="12" max="16384" width="9" style="78"/>
  </cols>
  <sheetData>
    <row r="1" spans="2:10" ht="43.5" customHeight="1" x14ac:dyDescent="0.2">
      <c r="B1" s="291" t="s">
        <v>278</v>
      </c>
      <c r="C1" s="291"/>
      <c r="D1" s="291"/>
      <c r="F1" s="88" t="s">
        <v>279</v>
      </c>
      <c r="J1" s="89" t="s">
        <v>248</v>
      </c>
    </row>
    <row r="2" spans="2:10" x14ac:dyDescent="0.2">
      <c r="B2" s="90" t="s">
        <v>51</v>
      </c>
      <c r="C2" s="90" t="s">
        <v>249</v>
      </c>
      <c r="D2" s="90" t="s">
        <v>250</v>
      </c>
      <c r="F2" s="90" t="s">
        <v>51</v>
      </c>
      <c r="G2" s="90" t="s">
        <v>249</v>
      </c>
      <c r="H2" s="90" t="s">
        <v>251</v>
      </c>
      <c r="J2" s="90" t="s">
        <v>252</v>
      </c>
    </row>
    <row r="3" spans="2:10" x14ac:dyDescent="0.2">
      <c r="B3" s="94" t="s">
        <v>253</v>
      </c>
      <c r="C3" s="91"/>
      <c r="D3" s="91"/>
      <c r="F3" s="94" t="str">
        <f>B3</f>
        <v>県産材</v>
      </c>
      <c r="G3" s="92">
        <f>IF(【様式第６号】事業報告書兼チェックシート!Y72="",0,【様式第６号】事業報告書兼チェックシート!Y72*10000)</f>
        <v>0</v>
      </c>
      <c r="H3" s="92">
        <f>IF(【様式第６号】事業報告書兼チェックシート!Y72="",0,【様式第６号】事業報告書兼チェックシート!Y72*10000)</f>
        <v>0</v>
      </c>
      <c r="J3" s="93">
        <f>IF(H3="","",MIN(D3,H3))</f>
        <v>0</v>
      </c>
    </row>
    <row r="4" spans="2:10" x14ac:dyDescent="0.2">
      <c r="B4" s="94" t="s">
        <v>257</v>
      </c>
      <c r="C4" s="95"/>
      <c r="D4" s="91"/>
      <c r="F4" s="94" t="str">
        <f t="shared" ref="F4:F9" si="0">B4</f>
        <v>県産規格材</v>
      </c>
      <c r="G4" s="92">
        <f>IF(【様式第６号】事業報告書兼チェックシート!Y73="",0,【様式第６号】事業報告書兼チェックシート!Y73*10000)</f>
        <v>0</v>
      </c>
      <c r="H4" s="92">
        <f>IF(【様式第６号】事業報告書兼チェックシート!Y73="",0,【様式第６号】事業報告書兼チェックシート!Y73*10000)</f>
        <v>0</v>
      </c>
      <c r="J4" s="93">
        <f t="shared" ref="J4:J9" si="1">IF(H4="","",MIN(D4,H4))</f>
        <v>0</v>
      </c>
    </row>
    <row r="5" spans="2:10" x14ac:dyDescent="0.2">
      <c r="B5" s="94" t="s">
        <v>258</v>
      </c>
      <c r="C5" s="95"/>
      <c r="D5" s="91"/>
      <c r="F5" s="94" t="str">
        <f t="shared" si="0"/>
        <v>県産機械等級区分構造材</v>
      </c>
      <c r="G5" s="92">
        <f>IF(【様式第６号】事業報告書兼チェックシート!Y74="",0,【様式第６号】事業報告書兼チェックシート!Y74*10000)</f>
        <v>0</v>
      </c>
      <c r="H5" s="92">
        <f>IF(【様式第６号】事業報告書兼チェックシート!Y74="",0,【様式第６号】事業報告書兼チェックシート!Y74*10000)</f>
        <v>0</v>
      </c>
      <c r="J5" s="93">
        <f t="shared" si="1"/>
        <v>0</v>
      </c>
    </row>
    <row r="6" spans="2:10" x14ac:dyDescent="0.2">
      <c r="B6" s="94" t="s">
        <v>259</v>
      </c>
      <c r="C6" s="95"/>
      <c r="D6" s="91"/>
      <c r="F6" s="94" t="str">
        <f t="shared" si="0"/>
        <v>県産ＣＬＴ材、県産内外装材</v>
      </c>
      <c r="G6" s="92">
        <f>IF(【様式第６号】事業報告書兼チェックシート!Y76="",0,【様式第６号】事業報告書兼チェックシート!Y76*10000)</f>
        <v>0</v>
      </c>
      <c r="H6" s="92">
        <f>IF(【様式第６号】事業報告書兼チェックシート!Y76="",0,【様式第６号】事業報告書兼チェックシート!Y76*10000)</f>
        <v>0</v>
      </c>
      <c r="J6" s="93">
        <f t="shared" si="1"/>
        <v>0</v>
      </c>
    </row>
    <row r="7" spans="2:10" x14ac:dyDescent="0.2">
      <c r="B7" s="94" t="s">
        <v>254</v>
      </c>
      <c r="C7" s="91"/>
      <c r="D7" s="91"/>
      <c r="F7" s="94" t="str">
        <f t="shared" si="0"/>
        <v>伝統技能活用</v>
      </c>
      <c r="G7" s="92">
        <f>IF(【様式第６号】事業報告書兼チェックシート!Y140="",0,【様式第６号】事業報告書兼チェックシート!Y140*10000)</f>
        <v>0</v>
      </c>
      <c r="H7" s="92">
        <f>IF(【様式第６号】事業報告書兼チェックシート!Y140="",0,【様式第６号】事業報告書兼チェックシート!Y140*10000)</f>
        <v>0</v>
      </c>
      <c r="J7" s="93">
        <f t="shared" si="1"/>
        <v>0</v>
      </c>
    </row>
    <row r="8" spans="2:10" x14ac:dyDescent="0.2">
      <c r="B8" s="94" t="s">
        <v>255</v>
      </c>
      <c r="C8" s="91"/>
      <c r="D8" s="91"/>
      <c r="F8" s="94" t="str">
        <f t="shared" si="0"/>
        <v>子育て世帯等</v>
      </c>
      <c r="G8" s="92">
        <f>IF(【様式第６号】事業報告書兼チェックシート!Y95="",0,【様式第６号】事業報告書兼チェックシート!Y95*10000)</f>
        <v>0</v>
      </c>
      <c r="H8" s="92">
        <f>IF(【様式第６号】事業報告書兼チェックシート!Y95="",0,【様式第６号】事業報告書兼チェックシート!Y95*10000)</f>
        <v>0</v>
      </c>
      <c r="J8" s="93">
        <f t="shared" si="1"/>
        <v>0</v>
      </c>
    </row>
    <row r="9" spans="2:10" x14ac:dyDescent="0.2">
      <c r="B9" s="94" t="s">
        <v>260</v>
      </c>
      <c r="C9" s="91"/>
      <c r="D9" s="91"/>
      <c r="F9" s="94" t="str">
        <f t="shared" si="0"/>
        <v>三世代同居等世帯支援</v>
      </c>
      <c r="G9" s="92">
        <f>IF(【様式第６号】事業報告書兼チェックシート!Y113="",0,【様式第６号】事業報告書兼チェックシート!Y113*10000)</f>
        <v>0</v>
      </c>
      <c r="H9" s="92">
        <f>IF(【様式第６号】事業報告書兼チェックシート!Y113="",0,【様式第６号】事業報告書兼チェックシート!Y113*10000)</f>
        <v>0</v>
      </c>
      <c r="J9" s="93">
        <f t="shared" si="1"/>
        <v>0</v>
      </c>
    </row>
    <row r="11" spans="2:10" x14ac:dyDescent="0.2">
      <c r="C11" s="90" t="s">
        <v>256</v>
      </c>
      <c r="D11" s="90" t="s">
        <v>250</v>
      </c>
      <c r="G11" s="90" t="s">
        <v>256</v>
      </c>
      <c r="H11" s="90" t="s">
        <v>250</v>
      </c>
    </row>
    <row r="12" spans="2:10" x14ac:dyDescent="0.2">
      <c r="C12" s="93" t="str">
        <f>IF(C3=0,"",SUM(C3:C9))</f>
        <v/>
      </c>
      <c r="D12" s="93" t="str">
        <f>IF(D3=0,"",MIN(SUM(D3:D9),1000000))</f>
        <v/>
      </c>
      <c r="G12" s="93" t="str">
        <f>IF(G3=0,"",SUM(G3:G9))</f>
        <v/>
      </c>
      <c r="H12" s="93" t="str">
        <f>IF(H3=0,"",MIN(MIN(SUM(J3:J9),1000000),1500000,D12))</f>
        <v/>
      </c>
    </row>
    <row r="16" spans="2:10" ht="13.5" customHeight="1" x14ac:dyDescent="0.2"/>
  </sheetData>
  <sheetProtection algorithmName="SHA-512" hashValue="y3d1xPrCiOKHautmBoaBtmxFTdYNnPxAtK9F6+X6GA48AgwaLWmTpTFe2cjP0oQLjAiUYjSOzPKYjIy445ma8w==" saltValue="OHSoej5Yhk96Gq4R2sTT8A==" spinCount="100000" sheet="1" objects="1" scenarios="1"/>
  <mergeCells count="1">
    <mergeCell ref="B1:D1"/>
  </mergeCells>
  <phoneticPr fontId="1"/>
  <conditionalFormatting sqref="C3:D8">
    <cfRule type="containsBlanks" dxfId="5" priority="4">
      <formula>LEN(TRIM(C3))=0</formula>
    </cfRule>
  </conditionalFormatting>
  <conditionalFormatting sqref="C9:D9">
    <cfRule type="containsBlanks" dxfId="4" priority="2">
      <formula>LEN(TRIM(C9))=0</formula>
    </cfRule>
  </conditionalFormatting>
  <conditionalFormatting sqref="C3:D9">
    <cfRule type="cellIs" dxfId="3" priority="1" operator="lessThan">
      <formula>1</formula>
    </cfRule>
  </conditionalFormatting>
  <dataValidations count="1">
    <dataValidation type="whole" operator="greaterThanOrEqual" showInputMessage="1" showErrorMessage="1" sqref="C3:D9">
      <formula1>0</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topLeftCell="A13" zoomScale="85" zoomScaleNormal="100" zoomScaleSheetLayoutView="85" workbookViewId="0">
      <selection activeCell="K34" sqref="K34"/>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176</v>
      </c>
    </row>
    <row r="5" spans="1:6" ht="14" x14ac:dyDescent="0.2">
      <c r="A5" s="293" t="s">
        <v>163</v>
      </c>
      <c r="B5" s="293"/>
      <c r="C5" s="293"/>
      <c r="D5" s="293"/>
      <c r="E5" s="293"/>
    </row>
    <row r="7" spans="1:6" ht="38.25" customHeight="1" x14ac:dyDescent="0.2">
      <c r="C7" s="6" t="s">
        <v>40</v>
      </c>
      <c r="D7" s="137" t="str">
        <f>IF(【様式第６号】事業報告書兼チェックシート!N11="","",【様式第６号】事業報告書兼チェックシート!N11)</f>
        <v/>
      </c>
      <c r="E7" s="137"/>
    </row>
    <row r="8" spans="1:6" x14ac:dyDescent="0.2">
      <c r="C8" s="6" t="s">
        <v>41</v>
      </c>
      <c r="D8" s="278" t="str">
        <f>IF(【様式第６号】事業報告書兼チェックシート!N12="","",【様式第６号】事業報告書兼チェックシート!N12)</f>
        <v/>
      </c>
      <c r="E8" s="278"/>
    </row>
    <row r="10" spans="1:6" x14ac:dyDescent="0.2">
      <c r="A10" s="1" t="s">
        <v>35</v>
      </c>
    </row>
    <row r="11" spans="1:6" x14ac:dyDescent="0.2">
      <c r="A11" s="1" t="s">
        <v>36</v>
      </c>
    </row>
    <row r="13" spans="1:6" x14ac:dyDescent="0.2">
      <c r="B13" s="120" t="s">
        <v>34</v>
      </c>
      <c r="C13" s="120" t="s">
        <v>5</v>
      </c>
      <c r="D13" s="120" t="s">
        <v>39</v>
      </c>
    </row>
    <row r="14" spans="1:6" ht="28" customHeight="1" x14ac:dyDescent="0.2">
      <c r="A14" s="135" t="s">
        <v>38</v>
      </c>
      <c r="B14" s="133" t="s">
        <v>311</v>
      </c>
      <c r="C14" s="136" t="s">
        <v>312</v>
      </c>
      <c r="D14" s="134" t="s">
        <v>313</v>
      </c>
    </row>
    <row r="15" spans="1:6" ht="29.5" customHeight="1" x14ac:dyDescent="0.2">
      <c r="A15" s="135" t="s">
        <v>38</v>
      </c>
      <c r="B15" s="75" t="s">
        <v>314</v>
      </c>
      <c r="C15" s="75" t="s">
        <v>315</v>
      </c>
      <c r="D15" s="75" t="s">
        <v>316</v>
      </c>
      <c r="F15" s="122"/>
    </row>
    <row r="16" spans="1:6" x14ac:dyDescent="0.2">
      <c r="B16" s="121"/>
      <c r="C16" s="121"/>
      <c r="D16" s="121"/>
    </row>
    <row r="17" spans="1:7" x14ac:dyDescent="0.2">
      <c r="B17" s="74" t="s">
        <v>34</v>
      </c>
      <c r="C17" s="120" t="s">
        <v>5</v>
      </c>
      <c r="D17" s="120" t="s">
        <v>20</v>
      </c>
    </row>
    <row r="18" spans="1:7" ht="36" customHeight="1" x14ac:dyDescent="0.2">
      <c r="B18" s="83"/>
      <c r="C18" s="83"/>
      <c r="D18" s="84"/>
    </row>
    <row r="19" spans="1:7" ht="36" customHeight="1" x14ac:dyDescent="0.2">
      <c r="B19" s="83"/>
      <c r="C19" s="83"/>
      <c r="D19" s="84"/>
    </row>
    <row r="20" spans="1:7" ht="36" customHeight="1" x14ac:dyDescent="0.2">
      <c r="B20" s="83"/>
      <c r="C20" s="83"/>
      <c r="D20" s="84"/>
    </row>
    <row r="21" spans="1:7" ht="36" customHeight="1" x14ac:dyDescent="0.2">
      <c r="B21" s="83"/>
      <c r="C21" s="83"/>
      <c r="D21" s="84"/>
      <c r="G21" s="1" t="s">
        <v>285</v>
      </c>
    </row>
    <row r="22" spans="1:7" ht="36" customHeight="1" x14ac:dyDescent="0.2">
      <c r="B22" s="83"/>
      <c r="C22" s="83"/>
      <c r="D22" s="84"/>
      <c r="G22" s="1" t="s">
        <v>286</v>
      </c>
    </row>
    <row r="23" spans="1:7" ht="36" customHeight="1" x14ac:dyDescent="0.2">
      <c r="B23" s="83"/>
      <c r="C23" s="83"/>
      <c r="D23" s="84"/>
      <c r="G23" s="1" t="s">
        <v>287</v>
      </c>
    </row>
    <row r="24" spans="1:7" ht="36" customHeight="1" x14ac:dyDescent="0.2">
      <c r="B24" s="83"/>
      <c r="C24" s="83"/>
      <c r="D24" s="84"/>
      <c r="G24" s="1" t="s">
        <v>288</v>
      </c>
    </row>
    <row r="26" spans="1:7" x14ac:dyDescent="0.2">
      <c r="B26" s="123"/>
      <c r="C26" s="123"/>
      <c r="D26" s="124"/>
      <c r="G26" s="1" t="s">
        <v>289</v>
      </c>
    </row>
    <row r="27" spans="1:7" x14ac:dyDescent="0.2">
      <c r="A27" s="1" t="s">
        <v>46</v>
      </c>
    </row>
    <row r="28" spans="1:7" x14ac:dyDescent="0.2">
      <c r="A28" s="76" t="s">
        <v>290</v>
      </c>
      <c r="B28" s="292" t="s">
        <v>45</v>
      </c>
      <c r="C28" s="292"/>
      <c r="D28" s="292"/>
      <c r="E28" s="292"/>
    </row>
    <row r="29" spans="1:7" x14ac:dyDescent="0.2">
      <c r="A29" s="77"/>
      <c r="B29" s="292"/>
      <c r="C29" s="292"/>
      <c r="D29" s="292"/>
      <c r="E29" s="292"/>
    </row>
    <row r="30" spans="1:7" x14ac:dyDescent="0.2">
      <c r="A30" s="76" t="s">
        <v>290</v>
      </c>
      <c r="B30" s="292" t="s">
        <v>47</v>
      </c>
      <c r="C30" s="292"/>
      <c r="D30" s="292"/>
      <c r="E30" s="292"/>
      <c r="G30" s="1" t="s">
        <v>291</v>
      </c>
    </row>
    <row r="31" spans="1:7" x14ac:dyDescent="0.2">
      <c r="A31" s="76"/>
      <c r="B31" s="292"/>
      <c r="C31" s="292"/>
      <c r="D31" s="292"/>
      <c r="E31" s="292"/>
      <c r="G31" s="1" t="s">
        <v>292</v>
      </c>
    </row>
    <row r="32" spans="1:7" x14ac:dyDescent="0.2">
      <c r="A32" s="76"/>
      <c r="B32" s="292"/>
      <c r="C32" s="292"/>
      <c r="D32" s="292"/>
      <c r="E32" s="292"/>
    </row>
    <row r="33" spans="1:5" x14ac:dyDescent="0.2">
      <c r="A33" s="77"/>
      <c r="B33" s="292"/>
      <c r="C33" s="292"/>
      <c r="D33" s="292"/>
      <c r="E33" s="292"/>
    </row>
  </sheetData>
  <sheetProtection algorithmName="SHA-512" hashValue="zh6+Sd7aE3fBXfW+AQYgsYrI06h5rgsU2x9hENxf4Sn0Y3JmeTQoKL892P+8a8n0j5RCO4/Y86OF0JOs1c/1PA==" saltValue="Rnc+o6aWelCZpQYCiKRzXQ==" spinCount="100000" sheet="1" objects="1" scenarios="1"/>
  <mergeCells count="5">
    <mergeCell ref="B30:E33"/>
    <mergeCell ref="A5:E5"/>
    <mergeCell ref="D7:E7"/>
    <mergeCell ref="D8:E8"/>
    <mergeCell ref="B28:E29"/>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view="pageBreakPreview" topLeftCell="A19" zoomScaleNormal="100" zoomScaleSheetLayoutView="100" workbookViewId="0">
      <selection activeCell="Q23" sqref="Q23:X23"/>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1" t="s">
        <v>261</v>
      </c>
    </row>
    <row r="2" spans="1:63" ht="15.75" customHeight="1" x14ac:dyDescent="0.2">
      <c r="A2" s="294" t="s">
        <v>284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96" t="str">
        <f>IF(A2="令和　年　月　日","←申請日を入力してください。","")</f>
        <v>←申請日を入力してください。</v>
      </c>
      <c r="BK2" s="97" t="s">
        <v>262</v>
      </c>
    </row>
    <row r="3" spans="1:63" ht="11.25" customHeight="1"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BK3" s="97" t="s">
        <v>263</v>
      </c>
    </row>
    <row r="4" spans="1:63" ht="11.25" customHeight="1" x14ac:dyDescent="0.2"/>
    <row r="5" spans="1:63" ht="15.75" customHeight="1" x14ac:dyDescent="0.2">
      <c r="B5" s="1" t="str">
        <f>IF(【様式第６号】事業報告書兼チェックシート!M27="","鳥取県　　　　　所長　様",【様式第６号】事業報告書兼チェックシート!BG27&amp;"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9" t="s">
        <v>264</v>
      </c>
      <c r="P9" s="297" t="str">
        <f>IF(【様式第６号】事業報告書兼チェックシート!O10="","",【様式第６号】事業報告書兼チェックシート!O10)</f>
        <v/>
      </c>
      <c r="Q9" s="297"/>
      <c r="R9" s="297"/>
      <c r="S9" s="297"/>
      <c r="T9" s="297"/>
      <c r="U9" s="297"/>
      <c r="V9" s="297"/>
      <c r="W9" s="297"/>
      <c r="X9" s="297"/>
    </row>
    <row r="10" spans="1:63" ht="35.25" customHeight="1" x14ac:dyDescent="0.2">
      <c r="O10" s="295" t="str">
        <f>IF(【様式第６号】事業報告書兼チェックシート!N11="","",【様式第６号】事業報告書兼チェックシート!N11)</f>
        <v/>
      </c>
      <c r="P10" s="295"/>
      <c r="Q10" s="295"/>
      <c r="R10" s="295"/>
      <c r="S10" s="295"/>
      <c r="T10" s="295"/>
      <c r="U10" s="295"/>
      <c r="V10" s="295"/>
      <c r="W10" s="295"/>
      <c r="X10" s="295"/>
    </row>
    <row r="11" spans="1:63" ht="16.5" customHeight="1" x14ac:dyDescent="0.2">
      <c r="M11" s="1" t="s">
        <v>6</v>
      </c>
      <c r="O11" s="295" t="str">
        <f>IF(【様式第６号】事業報告書兼チェックシート!N12="","",【様式第６号】事業報告書兼チェックシート!N12)</f>
        <v/>
      </c>
      <c r="P11" s="295"/>
      <c r="Q11" s="295"/>
      <c r="R11" s="295"/>
      <c r="S11" s="295"/>
      <c r="T11" s="295"/>
      <c r="U11" s="295"/>
      <c r="V11" s="295"/>
      <c r="W11" s="295"/>
      <c r="X11" s="295"/>
      <c r="AA11" s="28" t="s">
        <v>76</v>
      </c>
    </row>
    <row r="12" spans="1:63" ht="16.5" customHeight="1" x14ac:dyDescent="0.2">
      <c r="M12" s="1" t="s">
        <v>9</v>
      </c>
      <c r="O12" s="295" t="str">
        <f>IF(【様式第６号】事業報告書兼チェックシート!N13="","",【様式第６号】事業報告書兼チェックシート!N13)</f>
        <v/>
      </c>
      <c r="P12" s="295"/>
      <c r="Q12" s="295"/>
      <c r="R12" s="295"/>
      <c r="S12" s="295"/>
      <c r="T12" s="295"/>
      <c r="U12" s="295"/>
      <c r="V12" s="295"/>
      <c r="W12" s="295"/>
      <c r="X12" s="295"/>
    </row>
    <row r="13" spans="1:63" ht="12" customHeight="1" x14ac:dyDescent="0.2"/>
    <row r="14" spans="1:63" ht="12" customHeight="1" x14ac:dyDescent="0.2"/>
    <row r="15" spans="1:63" ht="16.5" customHeight="1" x14ac:dyDescent="0.2">
      <c r="A15" s="282" t="s">
        <v>265</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100"/>
      <c r="AB15" s="100"/>
      <c r="AC15" s="100"/>
      <c r="AD15" s="100"/>
      <c r="AE15" s="100"/>
      <c r="AF15" s="100"/>
      <c r="AG15" s="100"/>
    </row>
    <row r="16" spans="1:63" ht="12.75" customHeight="1" x14ac:dyDescent="0.2">
      <c r="AA16" s="100"/>
      <c r="AB16" s="100"/>
      <c r="AC16" s="298"/>
      <c r="AD16" s="299"/>
      <c r="AE16" s="299"/>
      <c r="AF16" s="299"/>
      <c r="AG16" s="300"/>
      <c r="AH16" s="86"/>
    </row>
    <row r="17" spans="1:52" ht="45" customHeight="1" x14ac:dyDescent="0.2">
      <c r="A17" s="296" t="s">
        <v>283</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96"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100" t="s">
        <v>281</v>
      </c>
    </row>
    <row r="19" spans="1:52" ht="16.5" customHeight="1" x14ac:dyDescent="0.2">
      <c r="A19" s="282" t="s">
        <v>14</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37" t="s">
        <v>263</v>
      </c>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row>
    <row r="20" spans="1:52" ht="16.5" customHeight="1" x14ac:dyDescent="0.2"/>
    <row r="21" spans="1:52" ht="16.5" customHeight="1" x14ac:dyDescent="0.2">
      <c r="B21" s="150" t="s">
        <v>266</v>
      </c>
      <c r="C21" s="151"/>
      <c r="D21" s="151"/>
      <c r="E21" s="151"/>
      <c r="F21" s="151"/>
      <c r="G21" s="152"/>
      <c r="H21" s="150" t="s">
        <v>15</v>
      </c>
      <c r="I21" s="151"/>
      <c r="J21" s="151"/>
      <c r="K21" s="151"/>
      <c r="L21" s="151"/>
      <c r="M21" s="151"/>
      <c r="N21" s="151"/>
      <c r="O21" s="151"/>
      <c r="P21" s="151"/>
      <c r="Q21" s="151"/>
      <c r="R21" s="151"/>
      <c r="S21" s="151"/>
      <c r="T21" s="151"/>
      <c r="U21" s="151"/>
      <c r="V21" s="151"/>
      <c r="W21" s="151"/>
      <c r="X21" s="151"/>
      <c r="Y21" s="152"/>
    </row>
    <row r="22" spans="1:52" ht="16.5" customHeight="1" x14ac:dyDescent="0.2">
      <c r="B22" s="159" t="s">
        <v>267</v>
      </c>
      <c r="C22" s="160"/>
      <c r="D22" s="160"/>
      <c r="E22" s="160"/>
      <c r="F22" s="160"/>
      <c r="G22" s="161"/>
      <c r="H22" s="301" t="s">
        <v>16</v>
      </c>
      <c r="I22" s="302"/>
      <c r="J22" s="302"/>
      <c r="K22" s="302"/>
      <c r="L22" s="302"/>
      <c r="M22" s="302"/>
      <c r="N22" s="302"/>
      <c r="O22" s="302"/>
      <c r="P22" s="303"/>
      <c r="Q22" s="150" t="s">
        <v>250</v>
      </c>
      <c r="R22" s="151"/>
      <c r="S22" s="151"/>
      <c r="T22" s="151"/>
      <c r="U22" s="151"/>
      <c r="V22" s="151"/>
      <c r="W22" s="151"/>
      <c r="X22" s="151"/>
      <c r="Y22" s="152"/>
    </row>
    <row r="23" spans="1:52" ht="16.5" customHeight="1" x14ac:dyDescent="0.2">
      <c r="B23" s="162"/>
      <c r="C23" s="163"/>
      <c r="D23" s="163"/>
      <c r="E23" s="163"/>
      <c r="F23" s="163"/>
      <c r="G23" s="164"/>
      <c r="H23" s="304" t="str">
        <f>IF('要入力　交付決定状況入力シート'!C12="","",'要入力　交付決定状況入力シート'!C12)</f>
        <v/>
      </c>
      <c r="I23" s="305"/>
      <c r="J23" s="305"/>
      <c r="K23" s="305"/>
      <c r="L23" s="305"/>
      <c r="M23" s="305"/>
      <c r="N23" s="305"/>
      <c r="O23" s="305"/>
      <c r="P23" s="101" t="s">
        <v>17</v>
      </c>
      <c r="Q23" s="304" t="str">
        <f>IF('要入力　交付決定状況入力シート'!D12="","",'要入力　交付決定状況入力シート'!D12)</f>
        <v/>
      </c>
      <c r="R23" s="305"/>
      <c r="S23" s="305"/>
      <c r="T23" s="305"/>
      <c r="U23" s="305"/>
      <c r="V23" s="305"/>
      <c r="W23" s="305"/>
      <c r="X23" s="305"/>
      <c r="Y23" s="101" t="s">
        <v>17</v>
      </c>
      <c r="AA23" s="100" t="s">
        <v>276</v>
      </c>
    </row>
    <row r="24" spans="1:52" ht="16.5" customHeight="1" x14ac:dyDescent="0.2">
      <c r="B24" s="150" t="s">
        <v>268</v>
      </c>
      <c r="C24" s="151"/>
      <c r="D24" s="151"/>
      <c r="E24" s="151"/>
      <c r="F24" s="151"/>
      <c r="G24" s="152"/>
      <c r="H24" s="306" t="str">
        <f>IF('要入力　交付決定状況入力シート'!G12="","",'要入力　交付決定状況入力シート'!G12)</f>
        <v/>
      </c>
      <c r="I24" s="307"/>
      <c r="J24" s="307"/>
      <c r="K24" s="307"/>
      <c r="L24" s="307"/>
      <c r="M24" s="307"/>
      <c r="N24" s="307"/>
      <c r="O24" s="307"/>
      <c r="P24" s="101" t="s">
        <v>17</v>
      </c>
      <c r="Q24" s="306" t="str">
        <f>IF('要入力　交付決定状況入力シート'!H12="","",'要入力　交付決定状況入力シート'!H12)</f>
        <v/>
      </c>
      <c r="R24" s="307"/>
      <c r="S24" s="307"/>
      <c r="T24" s="307"/>
      <c r="U24" s="307"/>
      <c r="V24" s="307"/>
      <c r="W24" s="307"/>
      <c r="X24" s="307"/>
      <c r="Y24" s="101" t="s">
        <v>17</v>
      </c>
      <c r="AA24" s="100" t="s">
        <v>277</v>
      </c>
    </row>
    <row r="25" spans="1:52" ht="16.5" customHeight="1" x14ac:dyDescent="0.2">
      <c r="B25" s="150" t="s">
        <v>269</v>
      </c>
      <c r="C25" s="151"/>
      <c r="D25" s="151"/>
      <c r="E25" s="151"/>
      <c r="F25" s="151"/>
      <c r="G25" s="152"/>
      <c r="H25" s="306" t="str">
        <f>IF(H23="","",H24-H23)</f>
        <v/>
      </c>
      <c r="I25" s="307"/>
      <c r="J25" s="307"/>
      <c r="K25" s="307"/>
      <c r="L25" s="307"/>
      <c r="M25" s="307"/>
      <c r="N25" s="307"/>
      <c r="O25" s="307"/>
      <c r="P25" s="101" t="s">
        <v>17</v>
      </c>
      <c r="Q25" s="306" t="str">
        <f>IF(Q23="","",Q24-Q23)</f>
        <v/>
      </c>
      <c r="R25" s="307"/>
      <c r="S25" s="307"/>
      <c r="T25" s="307"/>
      <c r="U25" s="307"/>
      <c r="V25" s="307"/>
      <c r="W25" s="307"/>
      <c r="X25" s="307"/>
      <c r="Y25" s="101" t="s">
        <v>17</v>
      </c>
      <c r="AA25" s="100"/>
    </row>
    <row r="26" spans="1:52" ht="16.5" customHeight="1" x14ac:dyDescent="0.2">
      <c r="B26" s="159" t="s">
        <v>18</v>
      </c>
      <c r="C26" s="160"/>
      <c r="D26" s="160"/>
      <c r="E26" s="160"/>
      <c r="F26" s="160"/>
      <c r="G26" s="161"/>
      <c r="H26" s="102"/>
      <c r="I26" s="103"/>
      <c r="J26" s="51"/>
      <c r="K26" s="51"/>
      <c r="L26" s="51"/>
      <c r="M26" s="51"/>
      <c r="N26" s="51"/>
      <c r="O26" s="51"/>
      <c r="P26" s="51"/>
      <c r="Q26" s="51"/>
      <c r="R26" s="51"/>
      <c r="S26" s="51"/>
      <c r="T26" s="51"/>
      <c r="U26" s="51"/>
      <c r="V26" s="51"/>
      <c r="W26" s="51"/>
      <c r="X26" s="51"/>
      <c r="Y26" s="52"/>
      <c r="AA26" s="100"/>
    </row>
    <row r="27" spans="1:52" ht="16.5" customHeight="1" x14ac:dyDescent="0.2">
      <c r="B27" s="104"/>
      <c r="C27" s="3"/>
      <c r="D27" s="3"/>
      <c r="E27" s="3"/>
      <c r="F27" s="3"/>
      <c r="G27" s="105"/>
      <c r="H27" s="106" t="s">
        <v>275</v>
      </c>
      <c r="I27" s="107"/>
      <c r="J27" s="107"/>
      <c r="K27" s="107"/>
      <c r="L27" s="107"/>
      <c r="M27" s="107"/>
      <c r="N27" s="107"/>
      <c r="O27" s="107"/>
      <c r="P27" s="107"/>
      <c r="Q27" s="107"/>
      <c r="R27" s="107"/>
      <c r="S27" s="107"/>
      <c r="T27" s="107"/>
      <c r="U27" s="107"/>
      <c r="V27" s="107"/>
      <c r="W27" s="107"/>
      <c r="X27" s="107"/>
      <c r="Y27" s="108"/>
      <c r="AA27" s="100" t="s">
        <v>77</v>
      </c>
    </row>
    <row r="28" spans="1:52" ht="16.5" customHeight="1" x14ac:dyDescent="0.2">
      <c r="B28" s="104"/>
      <c r="C28" s="3"/>
      <c r="D28" s="3"/>
      <c r="E28" s="3"/>
      <c r="F28" s="3"/>
      <c r="G28" s="105"/>
      <c r="H28" s="106" t="str">
        <f>IF(【様式第６号】事業報告書兼チェックシート!C212="","","・"&amp;【様式第６号】事業報告書兼チェックシート!C212)</f>
        <v/>
      </c>
      <c r="I28" s="107"/>
      <c r="J28" s="107"/>
      <c r="K28" s="107"/>
      <c r="L28" s="107"/>
      <c r="M28" s="107"/>
      <c r="N28" s="107"/>
      <c r="O28" s="107"/>
      <c r="P28" s="107"/>
      <c r="Q28" s="107"/>
      <c r="R28" s="107"/>
      <c r="S28" s="107"/>
      <c r="T28" s="107"/>
      <c r="U28" s="107"/>
      <c r="V28" s="107"/>
      <c r="W28" s="107"/>
      <c r="X28" s="107"/>
      <c r="Y28" s="108"/>
    </row>
    <row r="29" spans="1:52" ht="16.5" customHeight="1" x14ac:dyDescent="0.2">
      <c r="B29" s="104"/>
      <c r="C29" s="3"/>
      <c r="D29" s="3"/>
      <c r="E29" s="3"/>
      <c r="F29" s="3"/>
      <c r="G29" s="105"/>
      <c r="H29" s="106" t="str">
        <f>IF(【様式第６号】事業報告書兼チェックシート!C213="","","・"&amp;【様式第６号】事業報告書兼チェックシート!C213)</f>
        <v/>
      </c>
      <c r="I29" s="107"/>
      <c r="J29" s="107"/>
      <c r="K29" s="107"/>
      <c r="L29" s="107"/>
      <c r="M29" s="107"/>
      <c r="N29" s="107"/>
      <c r="O29" s="107"/>
      <c r="P29" s="107"/>
      <c r="Q29" s="107"/>
      <c r="R29" s="107"/>
      <c r="S29" s="107"/>
      <c r="T29" s="107"/>
      <c r="U29" s="107"/>
      <c r="V29" s="107"/>
      <c r="W29" s="107"/>
      <c r="X29" s="107"/>
      <c r="Y29" s="108"/>
    </row>
    <row r="30" spans="1:52" ht="16.5" customHeight="1" x14ac:dyDescent="0.2">
      <c r="B30" s="104"/>
      <c r="C30" s="3"/>
      <c r="D30" s="3"/>
      <c r="E30" s="3"/>
      <c r="F30" s="3"/>
      <c r="G30" s="105"/>
      <c r="H30" s="106" t="str">
        <f>IF(【様式第６号】事業報告書兼チェックシート!C214="","","・"&amp;【様式第６号】事業報告書兼チェックシート!C214)</f>
        <v/>
      </c>
      <c r="I30" s="107"/>
      <c r="J30" s="107"/>
      <c r="K30" s="107"/>
      <c r="L30" s="107"/>
      <c r="M30" s="107"/>
      <c r="N30" s="107"/>
      <c r="O30" s="107"/>
      <c r="P30" s="107"/>
      <c r="Q30" s="107"/>
      <c r="R30" s="107"/>
      <c r="S30" s="107"/>
      <c r="T30" s="107"/>
      <c r="U30" s="107"/>
      <c r="V30" s="107"/>
      <c r="W30" s="107"/>
      <c r="X30" s="107"/>
      <c r="Y30" s="108"/>
    </row>
    <row r="31" spans="1:52" ht="16.5" customHeight="1" x14ac:dyDescent="0.2">
      <c r="B31" s="104"/>
      <c r="C31" s="3"/>
      <c r="D31" s="3"/>
      <c r="E31" s="3"/>
      <c r="F31" s="3"/>
      <c r="G31" s="105"/>
      <c r="H31" s="106" t="str">
        <f>IF(【様式第６号】事業報告書兼チェックシート!C215="","","・"&amp;【様式第６号】事業報告書兼チェックシート!C215)</f>
        <v>・完成写真及び口座振替依頼書</v>
      </c>
      <c r="I31" s="107"/>
      <c r="J31" s="107"/>
      <c r="K31" s="107"/>
      <c r="L31" s="107"/>
      <c r="M31" s="107"/>
      <c r="N31" s="107"/>
      <c r="O31" s="107"/>
      <c r="P31" s="107"/>
      <c r="Q31" s="107"/>
      <c r="R31" s="107"/>
      <c r="S31" s="107"/>
      <c r="T31" s="107"/>
      <c r="U31" s="107"/>
      <c r="V31" s="107"/>
      <c r="W31" s="107"/>
      <c r="X31" s="107"/>
      <c r="Y31" s="108"/>
    </row>
    <row r="32" spans="1:52" ht="16.5" customHeight="1" x14ac:dyDescent="0.2">
      <c r="B32" s="104"/>
      <c r="C32" s="3"/>
      <c r="D32" s="3"/>
      <c r="E32" s="3"/>
      <c r="F32" s="3"/>
      <c r="G32" s="105"/>
      <c r="H32" s="106" t="str">
        <f>IF(【様式第６号】事業報告書兼チェックシート!C216="","","・"&amp;【様式第６号】事業報告書兼チェックシート!C216)</f>
        <v>・県産材の産地証明書の写し</v>
      </c>
      <c r="I32" s="107"/>
      <c r="J32" s="107"/>
      <c r="K32" s="107"/>
      <c r="L32" s="107"/>
      <c r="M32" s="107"/>
      <c r="N32" s="107"/>
      <c r="O32" s="107"/>
      <c r="P32" s="107"/>
      <c r="Q32" s="107"/>
      <c r="R32" s="107"/>
      <c r="S32" s="107"/>
      <c r="T32" s="107"/>
      <c r="U32" s="107"/>
      <c r="V32" s="107"/>
      <c r="W32" s="107"/>
      <c r="X32" s="107"/>
      <c r="Y32" s="108"/>
    </row>
    <row r="33" spans="2:25" ht="28.5" customHeight="1" x14ac:dyDescent="0.2">
      <c r="B33" s="104"/>
      <c r="C33" s="3"/>
      <c r="D33" s="3"/>
      <c r="E33" s="3"/>
      <c r="F33" s="3"/>
      <c r="G33" s="105"/>
      <c r="H33" s="308" t="str">
        <f>IF(【様式第６号】事業報告書兼チェックシート!C217="","","・"&amp;【様式第６号】事業報告書兼チェックシート!C217)</f>
        <v/>
      </c>
      <c r="I33" s="309"/>
      <c r="J33" s="309"/>
      <c r="K33" s="309"/>
      <c r="L33" s="309"/>
      <c r="M33" s="309"/>
      <c r="N33" s="309"/>
      <c r="O33" s="309"/>
      <c r="P33" s="309"/>
      <c r="Q33" s="309"/>
      <c r="R33" s="309"/>
      <c r="S33" s="309"/>
      <c r="T33" s="309"/>
      <c r="U33" s="309"/>
      <c r="V33" s="309"/>
      <c r="W33" s="309"/>
      <c r="X33" s="309"/>
      <c r="Y33" s="310"/>
    </row>
    <row r="34" spans="2:25" ht="30" customHeight="1" x14ac:dyDescent="0.2">
      <c r="B34" s="104"/>
      <c r="C34" s="3"/>
      <c r="D34" s="3"/>
      <c r="E34" s="3"/>
      <c r="F34" s="3"/>
      <c r="G34" s="105"/>
      <c r="H34" s="308" t="str">
        <f>IF(【様式第６号】事業報告書兼チェックシート!C218="","","・"&amp;【様式第６号】事業報告書兼チェックシート!C218)</f>
        <v/>
      </c>
      <c r="I34" s="309"/>
      <c r="J34" s="309"/>
      <c r="K34" s="309"/>
      <c r="L34" s="309"/>
      <c r="M34" s="309"/>
      <c r="N34" s="309"/>
      <c r="O34" s="309"/>
      <c r="P34" s="309"/>
      <c r="Q34" s="309"/>
      <c r="R34" s="309"/>
      <c r="S34" s="309"/>
      <c r="T34" s="309"/>
      <c r="U34" s="309"/>
      <c r="V34" s="309"/>
      <c r="W34" s="309"/>
      <c r="X34" s="309"/>
      <c r="Y34" s="310"/>
    </row>
    <row r="35" spans="2:25" ht="33" customHeight="1" x14ac:dyDescent="0.2">
      <c r="B35" s="104"/>
      <c r="C35" s="3"/>
      <c r="D35" s="3"/>
      <c r="E35" s="3"/>
      <c r="F35" s="3"/>
      <c r="G35" s="105"/>
      <c r="H35" s="308" t="str">
        <f>IF(【様式第６号】事業報告書兼チェックシート!C219="","","・"&amp;【様式第６号】事業報告書兼チェックシート!C219)</f>
        <v/>
      </c>
      <c r="I35" s="309"/>
      <c r="J35" s="309"/>
      <c r="K35" s="309"/>
      <c r="L35" s="309"/>
      <c r="M35" s="309"/>
      <c r="N35" s="309"/>
      <c r="O35" s="309"/>
      <c r="P35" s="309"/>
      <c r="Q35" s="309"/>
      <c r="R35" s="309"/>
      <c r="S35" s="309"/>
      <c r="T35" s="309"/>
      <c r="U35" s="309"/>
      <c r="V35" s="309"/>
      <c r="W35" s="309"/>
      <c r="X35" s="309"/>
      <c r="Y35" s="310"/>
    </row>
    <row r="36" spans="2:25" ht="16.5" customHeight="1" x14ac:dyDescent="0.2">
      <c r="B36" s="104"/>
      <c r="C36" s="3"/>
      <c r="D36" s="3"/>
      <c r="E36" s="3"/>
      <c r="F36" s="3"/>
      <c r="G36" s="105"/>
      <c r="H36" s="311" t="str">
        <f>IF(【様式第６号】事業報告書兼チェックシート!C220="","","・"&amp;【様式第６号】事業報告書兼チェックシート!C220)</f>
        <v/>
      </c>
      <c r="I36" s="312"/>
      <c r="J36" s="312"/>
      <c r="K36" s="312"/>
      <c r="L36" s="312"/>
      <c r="M36" s="312"/>
      <c r="N36" s="312"/>
      <c r="O36" s="312"/>
      <c r="P36" s="312"/>
      <c r="Q36" s="312"/>
      <c r="R36" s="312"/>
      <c r="S36" s="312"/>
      <c r="T36" s="312"/>
      <c r="U36" s="312"/>
      <c r="V36" s="312"/>
      <c r="W36" s="312"/>
      <c r="X36" s="312"/>
      <c r="Y36" s="313"/>
    </row>
    <row r="37" spans="2:25" ht="56.25" customHeight="1" x14ac:dyDescent="0.2">
      <c r="B37" s="104"/>
      <c r="C37" s="3"/>
      <c r="D37" s="3"/>
      <c r="E37" s="3"/>
      <c r="F37" s="3"/>
      <c r="G37" s="105"/>
      <c r="H37" s="308" t="str">
        <f>IF(【様式第６号】事業報告書兼チェックシート!C221="","","・"&amp;【様式第６号】事業報告書兼チェックシート!C221)</f>
        <v/>
      </c>
      <c r="I37" s="309"/>
      <c r="J37" s="309"/>
      <c r="K37" s="309"/>
      <c r="L37" s="309"/>
      <c r="M37" s="309"/>
      <c r="N37" s="309"/>
      <c r="O37" s="309"/>
      <c r="P37" s="309"/>
      <c r="Q37" s="309"/>
      <c r="R37" s="309"/>
      <c r="S37" s="309"/>
      <c r="T37" s="309"/>
      <c r="U37" s="309"/>
      <c r="V37" s="309"/>
      <c r="W37" s="309"/>
      <c r="X37" s="309"/>
      <c r="Y37" s="310"/>
    </row>
    <row r="38" spans="2:25" ht="30" customHeight="1" x14ac:dyDescent="0.2">
      <c r="B38" s="104"/>
      <c r="C38" s="3"/>
      <c r="D38" s="3"/>
      <c r="E38" s="3"/>
      <c r="F38" s="3"/>
      <c r="G38" s="105"/>
      <c r="H38" s="308" t="str">
        <f>IF(【様式第６号】事業報告書兼チェックシート!C222="","","・"&amp;【様式第６号】事業報告書兼チェックシート!C222)</f>
        <v/>
      </c>
      <c r="I38" s="309"/>
      <c r="J38" s="309"/>
      <c r="K38" s="309"/>
      <c r="L38" s="309"/>
      <c r="M38" s="309"/>
      <c r="N38" s="309"/>
      <c r="O38" s="309"/>
      <c r="P38" s="309"/>
      <c r="Q38" s="309"/>
      <c r="R38" s="309"/>
      <c r="S38" s="309"/>
      <c r="T38" s="309"/>
      <c r="U38" s="309"/>
      <c r="V38" s="309"/>
      <c r="W38" s="309"/>
      <c r="X38" s="309"/>
      <c r="Y38" s="310"/>
    </row>
    <row r="39" spans="2:25" ht="18.75" customHeight="1" x14ac:dyDescent="0.2">
      <c r="B39" s="104"/>
      <c r="C39" s="3"/>
      <c r="D39" s="3"/>
      <c r="E39" s="3"/>
      <c r="F39" s="3"/>
      <c r="G39" s="105"/>
      <c r="H39" s="311" t="str">
        <f>IF(【様式第６号】事業報告書兼チェックシート!C223="","","・"&amp;【様式第６号】事業報告書兼チェックシート!C223)</f>
        <v/>
      </c>
      <c r="I39" s="312"/>
      <c r="J39" s="312"/>
      <c r="K39" s="312"/>
      <c r="L39" s="312"/>
      <c r="M39" s="312"/>
      <c r="N39" s="312"/>
      <c r="O39" s="312"/>
      <c r="P39" s="312"/>
      <c r="Q39" s="312"/>
      <c r="R39" s="312"/>
      <c r="S39" s="312"/>
      <c r="T39" s="312"/>
      <c r="U39" s="312"/>
      <c r="V39" s="312"/>
      <c r="W39" s="312"/>
      <c r="X39" s="312"/>
      <c r="Y39" s="313"/>
    </row>
    <row r="40" spans="2:25" ht="18.75" customHeight="1" x14ac:dyDescent="0.2">
      <c r="B40" s="104"/>
      <c r="C40" s="3"/>
      <c r="D40" s="3"/>
      <c r="E40" s="3"/>
      <c r="F40" s="3"/>
      <c r="G40" s="105"/>
      <c r="H40" s="311" t="str">
        <f>IF(【様式第６号】事業報告書兼チェックシート!C224="","","・"&amp;【様式第６号】事業報告書兼チェックシート!C224)</f>
        <v/>
      </c>
      <c r="I40" s="312"/>
      <c r="J40" s="312"/>
      <c r="K40" s="312"/>
      <c r="L40" s="312"/>
      <c r="M40" s="312"/>
      <c r="N40" s="312"/>
      <c r="O40" s="312"/>
      <c r="P40" s="312"/>
      <c r="Q40" s="312"/>
      <c r="R40" s="312"/>
      <c r="S40" s="312"/>
      <c r="T40" s="312"/>
      <c r="U40" s="312"/>
      <c r="V40" s="312"/>
      <c r="W40" s="312"/>
      <c r="X40" s="312"/>
      <c r="Y40" s="313"/>
    </row>
    <row r="41" spans="2:25" ht="32.25" customHeight="1" x14ac:dyDescent="0.2">
      <c r="B41" s="104"/>
      <c r="C41" s="3"/>
      <c r="D41" s="3"/>
      <c r="E41" s="3"/>
      <c r="F41" s="3"/>
      <c r="G41" s="105"/>
      <c r="H41" s="308" t="str">
        <f>IF(【様式第６号】事業報告書兼チェックシート!C225="","","・"&amp;【様式第６号】事業報告書兼チェックシート!C225)</f>
        <v/>
      </c>
      <c r="I41" s="309"/>
      <c r="J41" s="309"/>
      <c r="K41" s="309"/>
      <c r="L41" s="309"/>
      <c r="M41" s="309"/>
      <c r="N41" s="309"/>
      <c r="O41" s="309"/>
      <c r="P41" s="309"/>
      <c r="Q41" s="309"/>
      <c r="R41" s="309"/>
      <c r="S41" s="309"/>
      <c r="T41" s="309"/>
      <c r="U41" s="309"/>
      <c r="V41" s="309"/>
      <c r="W41" s="309"/>
      <c r="X41" s="309"/>
      <c r="Y41" s="310"/>
    </row>
    <row r="42" spans="2:25" ht="32.25" customHeight="1" x14ac:dyDescent="0.2">
      <c r="B42" s="104"/>
      <c r="C42" s="3"/>
      <c r="D42" s="3"/>
      <c r="E42" s="3"/>
      <c r="F42" s="3"/>
      <c r="G42" s="105"/>
      <c r="H42" s="308" t="str">
        <f>IF(【様式第６号】事業報告書兼チェックシート!C226="","","・"&amp;【様式第６号】事業報告書兼チェックシート!C226)</f>
        <v/>
      </c>
      <c r="I42" s="309"/>
      <c r="J42" s="309"/>
      <c r="K42" s="309"/>
      <c r="L42" s="309"/>
      <c r="M42" s="309"/>
      <c r="N42" s="309"/>
      <c r="O42" s="309"/>
      <c r="P42" s="309"/>
      <c r="Q42" s="309"/>
      <c r="R42" s="309"/>
      <c r="S42" s="309"/>
      <c r="T42" s="309"/>
      <c r="U42" s="309"/>
      <c r="V42" s="309"/>
      <c r="W42" s="309"/>
      <c r="X42" s="309"/>
      <c r="Y42" s="310"/>
    </row>
    <row r="43" spans="2:25" ht="30.75" customHeight="1" x14ac:dyDescent="0.2">
      <c r="B43" s="104"/>
      <c r="C43" s="3"/>
      <c r="D43" s="3"/>
      <c r="E43" s="3"/>
      <c r="F43" s="3"/>
      <c r="G43" s="105"/>
      <c r="H43" s="308" t="str">
        <f>IF(【様式第６号】事業報告書兼チェックシート!C227="","","・"&amp;【様式第６号】事業報告書兼チェックシート!C227)</f>
        <v/>
      </c>
      <c r="I43" s="309"/>
      <c r="J43" s="309"/>
      <c r="K43" s="309"/>
      <c r="L43" s="309"/>
      <c r="M43" s="309"/>
      <c r="N43" s="309"/>
      <c r="O43" s="309"/>
      <c r="P43" s="309"/>
      <c r="Q43" s="309"/>
      <c r="R43" s="309"/>
      <c r="S43" s="309"/>
      <c r="T43" s="309"/>
      <c r="U43" s="309"/>
      <c r="V43" s="309"/>
      <c r="W43" s="309"/>
      <c r="X43" s="309"/>
      <c r="Y43" s="310"/>
    </row>
    <row r="44" spans="2:25" ht="30.75" customHeight="1" x14ac:dyDescent="0.2">
      <c r="B44" s="104"/>
      <c r="C44" s="3"/>
      <c r="D44" s="3"/>
      <c r="E44" s="3"/>
      <c r="F44" s="3"/>
      <c r="G44" s="105"/>
      <c r="H44" s="308" t="str">
        <f>IF(【様式第６号】事業報告書兼チェックシート!C228="","","・"&amp;【様式第６号】事業報告書兼チェックシート!C228)</f>
        <v/>
      </c>
      <c r="I44" s="309"/>
      <c r="J44" s="309"/>
      <c r="K44" s="309"/>
      <c r="L44" s="309"/>
      <c r="M44" s="309"/>
      <c r="N44" s="309"/>
      <c r="O44" s="309"/>
      <c r="P44" s="309"/>
      <c r="Q44" s="309"/>
      <c r="R44" s="309"/>
      <c r="S44" s="309"/>
      <c r="T44" s="309"/>
      <c r="U44" s="309"/>
      <c r="V44" s="309"/>
      <c r="W44" s="309"/>
      <c r="X44" s="309"/>
      <c r="Y44" s="310"/>
    </row>
    <row r="45" spans="2:25" ht="30.75" customHeight="1" x14ac:dyDescent="0.2">
      <c r="B45" s="104"/>
      <c r="C45" s="3"/>
      <c r="D45" s="3"/>
      <c r="E45" s="3"/>
      <c r="F45" s="3"/>
      <c r="G45" s="105"/>
      <c r="H45" s="308" t="str">
        <f>IF(【様式第６号】事業報告書兼チェックシート!C229="","","・"&amp;【様式第６号】事業報告書兼チェックシート!C229)</f>
        <v/>
      </c>
      <c r="I45" s="309"/>
      <c r="J45" s="309"/>
      <c r="K45" s="309"/>
      <c r="L45" s="309"/>
      <c r="M45" s="309"/>
      <c r="N45" s="309"/>
      <c r="O45" s="309"/>
      <c r="P45" s="309"/>
      <c r="Q45" s="309"/>
      <c r="R45" s="309"/>
      <c r="S45" s="309"/>
      <c r="T45" s="309"/>
      <c r="U45" s="309"/>
      <c r="V45" s="309"/>
      <c r="W45" s="309"/>
      <c r="X45" s="309"/>
      <c r="Y45" s="310"/>
    </row>
    <row r="46" spans="2:25" ht="30.75" customHeight="1" x14ac:dyDescent="0.2">
      <c r="B46" s="104"/>
      <c r="C46" s="3"/>
      <c r="D46" s="3"/>
      <c r="E46" s="3"/>
      <c r="F46" s="3"/>
      <c r="G46" s="105"/>
      <c r="H46" s="308" t="str">
        <f>IF(【様式第６号】事業報告書兼チェックシート!C230="","","・"&amp;【様式第６号】事業報告書兼チェックシート!C230)</f>
        <v/>
      </c>
      <c r="I46" s="309"/>
      <c r="J46" s="309"/>
      <c r="K46" s="309"/>
      <c r="L46" s="309"/>
      <c r="M46" s="309"/>
      <c r="N46" s="309"/>
      <c r="O46" s="309"/>
      <c r="P46" s="309"/>
      <c r="Q46" s="309"/>
      <c r="R46" s="309"/>
      <c r="S46" s="309"/>
      <c r="T46" s="309"/>
      <c r="U46" s="309"/>
      <c r="V46" s="309"/>
      <c r="W46" s="309"/>
      <c r="X46" s="309"/>
      <c r="Y46" s="310"/>
    </row>
    <row r="47" spans="2:25" ht="30.75" customHeight="1" x14ac:dyDescent="0.2">
      <c r="B47" s="104"/>
      <c r="C47" s="3"/>
      <c r="D47" s="3"/>
      <c r="E47" s="3"/>
      <c r="F47" s="3"/>
      <c r="G47" s="105"/>
      <c r="H47" s="308" t="str">
        <f>IF(【様式第６号】事業報告書兼チェックシート!C231="","","・"&amp;【様式第６号】事業報告書兼チェックシート!C231)</f>
        <v/>
      </c>
      <c r="I47" s="309"/>
      <c r="J47" s="309"/>
      <c r="K47" s="309"/>
      <c r="L47" s="309"/>
      <c r="M47" s="309"/>
      <c r="N47" s="309"/>
      <c r="O47" s="309"/>
      <c r="P47" s="309"/>
      <c r="Q47" s="309"/>
      <c r="R47" s="309"/>
      <c r="S47" s="309"/>
      <c r="T47" s="309"/>
      <c r="U47" s="309"/>
      <c r="V47" s="309"/>
      <c r="W47" s="309"/>
      <c r="X47" s="309"/>
      <c r="Y47" s="310"/>
    </row>
    <row r="48" spans="2:25" ht="44.25" customHeight="1" x14ac:dyDescent="0.2">
      <c r="B48" s="104"/>
      <c r="C48" s="3"/>
      <c r="D48" s="3"/>
      <c r="E48" s="3"/>
      <c r="F48" s="3"/>
      <c r="G48" s="105"/>
      <c r="H48" s="308" t="str">
        <f>IF(【様式第６号】事業報告書兼チェックシート!C232="","","・"&amp;【様式第６号】事業報告書兼チェックシート!C232)</f>
        <v/>
      </c>
      <c r="I48" s="309"/>
      <c r="J48" s="309"/>
      <c r="K48" s="309"/>
      <c r="L48" s="309"/>
      <c r="M48" s="309"/>
      <c r="N48" s="309"/>
      <c r="O48" s="309"/>
      <c r="P48" s="309"/>
      <c r="Q48" s="309"/>
      <c r="R48" s="309"/>
      <c r="S48" s="309"/>
      <c r="T48" s="309"/>
      <c r="U48" s="309"/>
      <c r="V48" s="309"/>
      <c r="W48" s="309"/>
      <c r="X48" s="309"/>
      <c r="Y48" s="310"/>
    </row>
    <row r="49" spans="1:27" ht="30.75" customHeight="1" x14ac:dyDescent="0.2">
      <c r="B49" s="104"/>
      <c r="C49" s="3"/>
      <c r="D49" s="3"/>
      <c r="E49" s="3"/>
      <c r="F49" s="3"/>
      <c r="G49" s="105"/>
      <c r="H49" s="308" t="str">
        <f>IF(【様式第６号】事業報告書兼チェックシート!C233="","","・"&amp;【様式第６号】事業報告書兼チェックシート!C233)</f>
        <v/>
      </c>
      <c r="I49" s="309"/>
      <c r="J49" s="309"/>
      <c r="K49" s="309"/>
      <c r="L49" s="309"/>
      <c r="M49" s="309"/>
      <c r="N49" s="309"/>
      <c r="O49" s="309"/>
      <c r="P49" s="309"/>
      <c r="Q49" s="309"/>
      <c r="R49" s="309"/>
      <c r="S49" s="309"/>
      <c r="T49" s="309"/>
      <c r="U49" s="309"/>
      <c r="V49" s="309"/>
      <c r="W49" s="309"/>
      <c r="X49" s="309"/>
      <c r="Y49" s="310"/>
    </row>
    <row r="50" spans="1:27" ht="43.5" customHeight="1" x14ac:dyDescent="0.2">
      <c r="B50" s="104"/>
      <c r="C50" s="3"/>
      <c r="D50" s="3"/>
      <c r="E50" s="3"/>
      <c r="F50" s="3"/>
      <c r="G50" s="105"/>
      <c r="H50" s="308" t="str">
        <f>IF(【様式第６号】事業報告書兼チェックシート!C234="","","・"&amp;【様式第６号】事業報告書兼チェックシート!C234)</f>
        <v/>
      </c>
      <c r="I50" s="309"/>
      <c r="J50" s="309"/>
      <c r="K50" s="309"/>
      <c r="L50" s="309"/>
      <c r="M50" s="309"/>
      <c r="N50" s="309"/>
      <c r="O50" s="309"/>
      <c r="P50" s="309"/>
      <c r="Q50" s="309"/>
      <c r="R50" s="309"/>
      <c r="S50" s="309"/>
      <c r="T50" s="309"/>
      <c r="U50" s="309"/>
      <c r="V50" s="309"/>
      <c r="W50" s="309"/>
      <c r="X50" s="309"/>
      <c r="Y50" s="310"/>
    </row>
    <row r="51" spans="1:27" ht="19.5" customHeight="1" x14ac:dyDescent="0.2">
      <c r="B51" s="104"/>
      <c r="C51" s="3"/>
      <c r="D51" s="3"/>
      <c r="E51" s="3"/>
      <c r="F51" s="3"/>
      <c r="G51" s="105"/>
      <c r="H51" s="308" t="str">
        <f>IF(【様式第６号】事業報告書兼チェックシート!C235="","","・"&amp;【様式第６号】事業報告書兼チェックシート!C235)</f>
        <v/>
      </c>
      <c r="I51" s="309"/>
      <c r="J51" s="309"/>
      <c r="K51" s="309"/>
      <c r="L51" s="309"/>
      <c r="M51" s="309"/>
      <c r="N51" s="309"/>
      <c r="O51" s="309"/>
      <c r="P51" s="309"/>
      <c r="Q51" s="309"/>
      <c r="R51" s="309"/>
      <c r="S51" s="309"/>
      <c r="T51" s="309"/>
      <c r="U51" s="309"/>
      <c r="V51" s="309"/>
      <c r="W51" s="309"/>
      <c r="X51" s="309"/>
      <c r="Y51" s="310"/>
    </row>
    <row r="52" spans="1:27" ht="19.5" customHeight="1" x14ac:dyDescent="0.2">
      <c r="B52" s="104"/>
      <c r="C52" s="3"/>
      <c r="D52" s="3"/>
      <c r="E52" s="3"/>
      <c r="F52" s="3"/>
      <c r="G52" s="105"/>
      <c r="H52" s="308" t="str">
        <f>IF(【様式第６号】事業報告書兼チェックシート!C236="","","・"&amp;【様式第６号】事業報告書兼チェックシート!C236)</f>
        <v/>
      </c>
      <c r="I52" s="309"/>
      <c r="J52" s="309"/>
      <c r="K52" s="309"/>
      <c r="L52" s="309"/>
      <c r="M52" s="309"/>
      <c r="N52" s="309"/>
      <c r="O52" s="309"/>
      <c r="P52" s="309"/>
      <c r="Q52" s="309"/>
      <c r="R52" s="309"/>
      <c r="S52" s="309"/>
      <c r="T52" s="309"/>
      <c r="U52" s="309"/>
      <c r="V52" s="309"/>
      <c r="W52" s="309"/>
      <c r="X52" s="309"/>
      <c r="Y52" s="310"/>
    </row>
    <row r="53" spans="1:27" ht="18" customHeight="1" x14ac:dyDescent="0.2">
      <c r="B53" s="109"/>
      <c r="C53" s="24"/>
      <c r="D53" s="24"/>
      <c r="E53" s="24"/>
      <c r="F53" s="24"/>
      <c r="G53" s="27"/>
      <c r="H53" s="110"/>
      <c r="I53" s="111"/>
      <c r="J53" s="24"/>
      <c r="K53" s="24"/>
      <c r="L53" s="24"/>
      <c r="M53" s="24"/>
      <c r="N53" s="24"/>
      <c r="O53" s="24"/>
      <c r="P53" s="24"/>
      <c r="Q53" s="24"/>
      <c r="R53" s="24"/>
      <c r="S53" s="24"/>
      <c r="T53" s="24"/>
      <c r="U53" s="24"/>
      <c r="V53" s="24"/>
      <c r="W53" s="24"/>
      <c r="X53" s="24"/>
      <c r="Y53" s="27"/>
    </row>
    <row r="54" spans="1:27" ht="18" customHeight="1" x14ac:dyDescent="0.2">
      <c r="K54" s="42"/>
    </row>
    <row r="55" spans="1:27" ht="18" customHeight="1" x14ac:dyDescent="0.2">
      <c r="K55" s="42"/>
    </row>
    <row r="56" spans="1:27" ht="18" customHeight="1" x14ac:dyDescent="0.2">
      <c r="K56" s="42"/>
    </row>
    <row r="57" spans="1:27" ht="18" customHeight="1" x14ac:dyDescent="0.2">
      <c r="K57" s="42"/>
    </row>
    <row r="58" spans="1:27" ht="18" customHeight="1" x14ac:dyDescent="0.2">
      <c r="K58" s="42"/>
    </row>
    <row r="59" spans="1:27" ht="18" customHeight="1" x14ac:dyDescent="0.2">
      <c r="K59" s="42"/>
    </row>
    <row r="60" spans="1:27" ht="18" customHeight="1" x14ac:dyDescent="0.2">
      <c r="K60" s="42"/>
    </row>
    <row r="61" spans="1:27" ht="18" customHeight="1" x14ac:dyDescent="0.2">
      <c r="K61" s="42"/>
    </row>
    <row r="62" spans="1:27" ht="18" hidden="1" customHeight="1" x14ac:dyDescent="0.2">
      <c r="K62" s="42"/>
    </row>
    <row r="63" spans="1:27" ht="18" hidden="1" customHeight="1" x14ac:dyDescent="0.2"/>
    <row r="64" spans="1:27" s="107" customFormat="1" ht="18" hidden="1" customHeight="1" x14ac:dyDescent="0.2">
      <c r="A64" s="112" t="s">
        <v>270</v>
      </c>
      <c r="B64" s="113"/>
      <c r="C64" s="113"/>
      <c r="D64" s="113"/>
      <c r="E64" s="113"/>
      <c r="F64" s="113"/>
      <c r="G64" s="113"/>
      <c r="H64" s="113"/>
      <c r="I64" s="113"/>
      <c r="J64" s="113"/>
      <c r="K64" s="113"/>
      <c r="L64" s="113"/>
      <c r="M64" s="113"/>
      <c r="N64" s="113"/>
      <c r="O64" s="113"/>
      <c r="P64" s="113"/>
      <c r="Q64" s="114"/>
      <c r="R64" s="113"/>
      <c r="S64" s="113"/>
      <c r="T64" s="113"/>
      <c r="U64" s="113"/>
      <c r="V64" s="113"/>
      <c r="W64" s="113"/>
      <c r="X64" s="113"/>
      <c r="Y64" s="113"/>
      <c r="Z64" s="113"/>
      <c r="AA64" s="115"/>
    </row>
    <row r="65" spans="1:35" s="116" customFormat="1" ht="18" hidden="1" customHeight="1" x14ac:dyDescent="0.2">
      <c r="A65" s="112"/>
      <c r="B65" s="116" t="s">
        <v>11</v>
      </c>
      <c r="AA65" s="117"/>
    </row>
    <row r="66" spans="1:35" s="107" customFormat="1" ht="18" hidden="1" customHeight="1" x14ac:dyDescent="0.2">
      <c r="B66" s="328" t="s">
        <v>271</v>
      </c>
      <c r="C66" s="329"/>
      <c r="D66" s="329"/>
      <c r="E66" s="329"/>
      <c r="F66" s="329"/>
      <c r="G66" s="329"/>
      <c r="H66" s="330"/>
      <c r="I66" s="118" t="s">
        <v>272</v>
      </c>
      <c r="J66" s="334"/>
      <c r="K66" s="334"/>
      <c r="L66" s="334"/>
      <c r="M66" s="335"/>
      <c r="N66" s="335"/>
      <c r="O66" s="335"/>
      <c r="P66" s="335"/>
      <c r="Q66" s="335"/>
      <c r="R66" s="335"/>
      <c r="S66" s="335"/>
      <c r="T66" s="335"/>
      <c r="U66" s="335"/>
      <c r="V66" s="335"/>
      <c r="W66" s="335"/>
      <c r="X66" s="335"/>
      <c r="Y66" s="336"/>
      <c r="AA66" s="28"/>
    </row>
    <row r="67" spans="1:35" s="107" customFormat="1" ht="18" hidden="1" customHeight="1" x14ac:dyDescent="0.2">
      <c r="B67" s="331"/>
      <c r="C67" s="332"/>
      <c r="D67" s="332"/>
      <c r="E67" s="332"/>
      <c r="F67" s="332"/>
      <c r="G67" s="332"/>
      <c r="H67" s="333"/>
      <c r="I67" s="337"/>
      <c r="J67" s="338"/>
      <c r="K67" s="338"/>
      <c r="L67" s="338"/>
      <c r="M67" s="338"/>
      <c r="N67" s="338"/>
      <c r="O67" s="338"/>
      <c r="P67" s="338"/>
      <c r="Q67" s="338"/>
      <c r="R67" s="338"/>
      <c r="S67" s="338"/>
      <c r="T67" s="338"/>
      <c r="U67" s="338"/>
      <c r="V67" s="338"/>
      <c r="W67" s="338"/>
      <c r="X67" s="338"/>
      <c r="Y67" s="339"/>
      <c r="AA67" s="115"/>
      <c r="AB67" s="115"/>
      <c r="AC67" s="115"/>
      <c r="AD67" s="115"/>
      <c r="AE67" s="115"/>
      <c r="AF67" s="115"/>
      <c r="AG67" s="115"/>
      <c r="AH67" s="115"/>
      <c r="AI67" s="115"/>
    </row>
    <row r="68" spans="1:35" s="107" customFormat="1" ht="24" hidden="1" customHeight="1" x14ac:dyDescent="0.2">
      <c r="B68" s="314" t="s">
        <v>273</v>
      </c>
      <c r="C68" s="315"/>
      <c r="D68" s="315"/>
      <c r="E68" s="315"/>
      <c r="F68" s="315"/>
      <c r="G68" s="315"/>
      <c r="H68" s="316"/>
      <c r="I68" s="317"/>
      <c r="J68" s="318"/>
      <c r="K68" s="318"/>
      <c r="L68" s="318"/>
      <c r="M68" s="318"/>
      <c r="N68" s="318"/>
      <c r="O68" s="318"/>
      <c r="P68" s="318"/>
      <c r="Q68" s="318"/>
      <c r="R68" s="318"/>
      <c r="S68" s="318"/>
      <c r="T68" s="318"/>
      <c r="U68" s="318"/>
      <c r="V68" s="318"/>
      <c r="W68" s="318"/>
      <c r="X68" s="318"/>
      <c r="Y68" s="319"/>
      <c r="AA68" s="115"/>
      <c r="AB68" s="115"/>
      <c r="AC68" s="115"/>
      <c r="AD68" s="115"/>
      <c r="AE68" s="115"/>
      <c r="AF68" s="115"/>
      <c r="AG68" s="115"/>
      <c r="AH68" s="115"/>
      <c r="AI68" s="115"/>
    </row>
    <row r="69" spans="1:35" s="107" customFormat="1" ht="18" hidden="1" customHeight="1" x14ac:dyDescent="0.2">
      <c r="B69" s="314" t="s">
        <v>19</v>
      </c>
      <c r="C69" s="315"/>
      <c r="D69" s="315"/>
      <c r="E69" s="315"/>
      <c r="F69" s="315"/>
      <c r="G69" s="315"/>
      <c r="H69" s="316"/>
      <c r="I69" s="320"/>
      <c r="J69" s="321"/>
      <c r="K69" s="321"/>
      <c r="L69" s="321"/>
      <c r="M69" s="322"/>
      <c r="N69" s="323" t="s">
        <v>9</v>
      </c>
      <c r="O69" s="324"/>
      <c r="P69" s="325"/>
      <c r="Q69" s="326" t="s">
        <v>274</v>
      </c>
      <c r="R69" s="326"/>
      <c r="S69" s="326"/>
      <c r="T69" s="326"/>
      <c r="U69" s="326"/>
      <c r="V69" s="326"/>
      <c r="W69" s="326"/>
      <c r="X69" s="326"/>
      <c r="Y69" s="327"/>
      <c r="AA69" s="115"/>
      <c r="AB69" s="115"/>
      <c r="AC69" s="115"/>
      <c r="AD69" s="115"/>
      <c r="AE69" s="115"/>
      <c r="AF69" s="115"/>
      <c r="AG69" s="115"/>
      <c r="AH69" s="119"/>
      <c r="AI69" s="115"/>
    </row>
    <row r="70" spans="1:35" s="107" customFormat="1" ht="18" hidden="1" customHeight="1" x14ac:dyDescent="0.2">
      <c r="AA70" s="115"/>
      <c r="AB70" s="115"/>
      <c r="AC70" s="115"/>
      <c r="AD70" s="115"/>
      <c r="AE70" s="115"/>
      <c r="AF70" s="115"/>
      <c r="AG70" s="115"/>
      <c r="AH70" s="115"/>
      <c r="AI70" s="115"/>
    </row>
    <row r="71" spans="1:35" ht="18" hidden="1" customHeight="1" x14ac:dyDescent="0.2"/>
  </sheetData>
  <sheetProtection algorithmName="SHA-512" hashValue="7sOTIZ9aAPDqtkl8N60UiUgzL/47WWLNZW1j3IwN+xvzXY+JWakV2QxBPSke4YKfiPEoWAo5WBFTvcVb3wxsiQ==" saltValue="lcBssWTDEzehw5s+NU+1Ug==" spinCount="100000" sheet="1" objects="1" scenarios="1"/>
  <mergeCells count="54">
    <mergeCell ref="H42:Y42"/>
    <mergeCell ref="B68:H68"/>
    <mergeCell ref="I68:Y68"/>
    <mergeCell ref="B69:H69"/>
    <mergeCell ref="I69:M69"/>
    <mergeCell ref="N69:P69"/>
    <mergeCell ref="Q69:Y69"/>
    <mergeCell ref="H43:Y43"/>
    <mergeCell ref="B66:H67"/>
    <mergeCell ref="J66:L66"/>
    <mergeCell ref="M66:Y66"/>
    <mergeCell ref="I67:Y67"/>
    <mergeCell ref="H44:Y44"/>
    <mergeCell ref="H45:Y45"/>
    <mergeCell ref="H46:Y46"/>
    <mergeCell ref="H47:Y47"/>
    <mergeCell ref="H48:Y48"/>
    <mergeCell ref="H49:Y49"/>
    <mergeCell ref="H50:Y50"/>
    <mergeCell ref="H51:Y51"/>
    <mergeCell ref="H52:Y52"/>
    <mergeCell ref="H37:Y37"/>
    <mergeCell ref="H38:Y38"/>
    <mergeCell ref="H39:Y39"/>
    <mergeCell ref="H40:Y40"/>
    <mergeCell ref="H41:Y41"/>
    <mergeCell ref="B26:G26"/>
    <mergeCell ref="H33:Y33"/>
    <mergeCell ref="H34:Y34"/>
    <mergeCell ref="H35:Y35"/>
    <mergeCell ref="H36:Y36"/>
    <mergeCell ref="B24:G24"/>
    <mergeCell ref="H24:O24"/>
    <mergeCell ref="Q24:X24"/>
    <mergeCell ref="B25:G25"/>
    <mergeCell ref="H25:O25"/>
    <mergeCell ref="Q25:X25"/>
    <mergeCell ref="AC16:AG16"/>
    <mergeCell ref="AA19:AZ19"/>
    <mergeCell ref="B21:G21"/>
    <mergeCell ref="B22:G23"/>
    <mergeCell ref="H22:P22"/>
    <mergeCell ref="Q22:Y22"/>
    <mergeCell ref="H23:O23"/>
    <mergeCell ref="Q23:X23"/>
    <mergeCell ref="A19:Z19"/>
    <mergeCell ref="H21:Y21"/>
    <mergeCell ref="A2:Z2"/>
    <mergeCell ref="O10:X10"/>
    <mergeCell ref="O11:X11"/>
    <mergeCell ref="O12:X12"/>
    <mergeCell ref="A17:Z17"/>
    <mergeCell ref="A15:Z15"/>
    <mergeCell ref="P9:X9"/>
  </mergeCells>
  <phoneticPr fontId="1"/>
  <conditionalFormatting sqref="A2:Z2">
    <cfRule type="cellIs" dxfId="2" priority="3" operator="equal">
      <formula>"令和　年　月　日"</formula>
    </cfRule>
  </conditionalFormatting>
  <conditionalFormatting sqref="A17:Z17">
    <cfRule type="cellIs" dxfId="1" priority="1" operator="equal">
      <formula>$BK$3</formula>
    </cfRule>
    <cfRule type="cellIs" dxfId="0" priority="2" operator="equal">
      <formula>$BK$2</formula>
    </cfRule>
  </conditionalFormatting>
  <dataValidations disablePrompts="1" count="1">
    <dataValidation type="list" allowBlank="1" showInputMessage="1" showErrorMessage="1" sqref="AC16:AG16">
      <formula1>"はい,いいえ"</formula1>
    </dataValidation>
  </dataValidations>
  <pageMargins left="0.78740157480314965" right="0.78740157480314965" top="0.98425196850393704" bottom="0.59055118110236227"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【様式第６号】事業報告書兼チェックシート</vt:lpstr>
      <vt:lpstr>要入力　交付決定状況入力シート</vt:lpstr>
      <vt:lpstr>【様式第６号】（別紙）補助金併用一覧</vt:lpstr>
      <vt:lpstr>実績報告書鑑（報告書連動）</vt:lpstr>
      <vt:lpstr>'【様式第６号】（別紙）補助金併用一覧'!Print_Area</vt:lpstr>
      <vt:lpstr>【様式第６号】事業報告書兼チェックシート!Print_Area</vt:lpstr>
      <vt:lpstr>'実績報告書鑑（報告書連動）'!Print_Area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2020-07-27T12:04:19Z</cp:lastPrinted>
  <dcterms:created xsi:type="dcterms:W3CDTF">2017-01-19T07:37:02Z</dcterms:created>
  <dcterms:modified xsi:type="dcterms:W3CDTF">2022-08-23T04:08:20Z</dcterms:modified>
</cp:coreProperties>
</file>